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90" windowHeight="7455" activeTab="4"/>
  </bookViews>
  <sheets>
    <sheet name="06.10.2025" sheetId="1" r:id="rId1"/>
    <sheet name="13.10.2025" sheetId="2" r:id="rId2"/>
    <sheet name="20.10.2025" sheetId="3" r:id="rId3"/>
    <sheet name="27.10.2025" sheetId="4" r:id="rId4"/>
    <sheet name="03.11.2025" sheetId="5" r:id="rId5"/>
  </sheets>
  <definedNames>
    <definedName name="_xlnm._FilterDatabase" localSheetId="0" hidden="1">'06.10.2025'!$A$1:$P$286</definedName>
    <definedName name="_xlnm._FilterDatabase" localSheetId="1" hidden="1">'13.10.2025'!$A$1:$P$286</definedName>
    <definedName name="_xlnm._FilterDatabase" localSheetId="2" hidden="1">'20.10.2025'!$A$1:$P$296</definedName>
    <definedName name="_xlnm._FilterDatabase" localSheetId="3" hidden="1">'27.10.2025'!$A$1:$P$298</definedName>
    <definedName name="_xlnm.Print_Area" localSheetId="4">'03.11.2025'!$A$1:$I$262</definedName>
  </definedNames>
  <calcPr calcId="152511"/>
</workbook>
</file>

<file path=xl/calcChain.xml><?xml version="1.0" encoding="utf-8"?>
<calcChain xmlns="http://schemas.openxmlformats.org/spreadsheetml/2006/main">
  <c r="G262" i="5" l="1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P293" i="4"/>
  <c r="P290" i="4"/>
  <c r="G290" i="4"/>
  <c r="P289" i="4"/>
  <c r="G289" i="4"/>
  <c r="P288" i="4"/>
  <c r="L288" i="4"/>
  <c r="G288" i="4"/>
  <c r="G287" i="4"/>
  <c r="P286" i="4"/>
  <c r="L286" i="4"/>
  <c r="G286" i="4"/>
  <c r="P285" i="4"/>
  <c r="G285" i="4"/>
  <c r="G284" i="4"/>
  <c r="P283" i="4"/>
  <c r="G283" i="4"/>
  <c r="P282" i="4"/>
  <c r="L282" i="4"/>
  <c r="G282" i="4"/>
  <c r="G281" i="4"/>
  <c r="P280" i="4"/>
  <c r="G280" i="4"/>
  <c r="P279" i="4"/>
  <c r="L279" i="4"/>
  <c r="G279" i="4"/>
  <c r="L278" i="4"/>
  <c r="P278" i="4" s="1"/>
  <c r="G278" i="4"/>
  <c r="P277" i="4"/>
  <c r="G277" i="4"/>
  <c r="P276" i="4"/>
  <c r="G276" i="4"/>
  <c r="P275" i="4"/>
  <c r="L275" i="4"/>
  <c r="G275" i="4"/>
  <c r="L274" i="4"/>
  <c r="P274" i="4" s="1"/>
  <c r="G274" i="4"/>
  <c r="P273" i="4"/>
  <c r="L273" i="4"/>
  <c r="G273" i="4"/>
  <c r="P272" i="4"/>
  <c r="G272" i="4"/>
  <c r="L271" i="4"/>
  <c r="P271" i="4" s="1"/>
  <c r="G271" i="4"/>
  <c r="P270" i="4"/>
  <c r="G270" i="4"/>
  <c r="P269" i="4"/>
  <c r="G269" i="4"/>
  <c r="P268" i="4"/>
  <c r="G268" i="4"/>
  <c r="P267" i="4"/>
  <c r="G267" i="4"/>
  <c r="P266" i="4"/>
  <c r="G266" i="4"/>
  <c r="P265" i="4"/>
  <c r="G265" i="4"/>
  <c r="G264" i="4"/>
  <c r="G263" i="4"/>
  <c r="G262" i="4"/>
  <c r="L261" i="4"/>
  <c r="P261" i="4" s="1"/>
  <c r="G261" i="4"/>
  <c r="P260" i="4"/>
  <c r="L260" i="4"/>
  <c r="G260" i="4"/>
  <c r="G259" i="4"/>
  <c r="G258" i="4"/>
  <c r="G257" i="4"/>
  <c r="G256" i="4"/>
  <c r="G255" i="4"/>
  <c r="G254" i="4"/>
  <c r="P253" i="4"/>
  <c r="G253" i="4"/>
  <c r="P252" i="4"/>
  <c r="G252" i="4"/>
  <c r="L251" i="4"/>
  <c r="P251" i="4" s="1"/>
  <c r="G251" i="4"/>
  <c r="P250" i="4"/>
  <c r="G250" i="4"/>
  <c r="G249" i="4"/>
  <c r="G248" i="4"/>
  <c r="G247" i="4"/>
  <c r="P246" i="4"/>
  <c r="G246" i="4"/>
  <c r="P245" i="4"/>
  <c r="G245" i="4"/>
  <c r="L244" i="4"/>
  <c r="P244" i="4" s="1"/>
  <c r="G244" i="4"/>
  <c r="P243" i="4"/>
  <c r="L243" i="4"/>
  <c r="G243" i="4"/>
  <c r="G242" i="4"/>
  <c r="G241" i="4"/>
  <c r="G240" i="4"/>
  <c r="P239" i="4"/>
  <c r="G239" i="4"/>
  <c r="P238" i="4"/>
  <c r="G238" i="4"/>
  <c r="P237" i="4"/>
  <c r="L237" i="4"/>
  <c r="G237" i="4"/>
  <c r="L236" i="4"/>
  <c r="P236" i="4" s="1"/>
  <c r="G236" i="4"/>
  <c r="G235" i="4"/>
  <c r="G234" i="4"/>
  <c r="G233" i="4"/>
  <c r="G232" i="4"/>
  <c r="G231" i="4"/>
  <c r="P230" i="4"/>
  <c r="G230" i="4"/>
  <c r="P229" i="4"/>
  <c r="G229" i="4"/>
  <c r="G228" i="4"/>
  <c r="P227" i="4"/>
  <c r="G227" i="4"/>
  <c r="P226" i="4"/>
  <c r="L226" i="4"/>
  <c r="G226" i="4"/>
  <c r="M225" i="4"/>
  <c r="L225" i="4"/>
  <c r="G225" i="4"/>
  <c r="G224" i="4"/>
  <c r="L223" i="4"/>
  <c r="G223" i="4"/>
  <c r="M222" i="4"/>
  <c r="G222" i="4"/>
  <c r="P221" i="4"/>
  <c r="L221" i="4"/>
  <c r="G221" i="4"/>
  <c r="L220" i="4"/>
  <c r="P220" i="4" s="1"/>
  <c r="G220" i="4"/>
  <c r="G219" i="4"/>
  <c r="L218" i="4"/>
  <c r="G218" i="4"/>
  <c r="P217" i="4"/>
  <c r="G217" i="4"/>
  <c r="L216" i="4"/>
  <c r="P216" i="4" s="1"/>
  <c r="G216" i="4"/>
  <c r="P215" i="4"/>
  <c r="L215" i="4"/>
  <c r="G215" i="4"/>
  <c r="G214" i="4"/>
  <c r="P213" i="4"/>
  <c r="G213" i="4"/>
  <c r="P212" i="4"/>
  <c r="G212" i="4"/>
  <c r="P211" i="4"/>
  <c r="G211" i="4"/>
  <c r="P210" i="4"/>
  <c r="G210" i="4"/>
  <c r="P209" i="4"/>
  <c r="G209" i="4"/>
  <c r="P208" i="4"/>
  <c r="G208" i="4"/>
  <c r="P207" i="4"/>
  <c r="G207" i="4"/>
  <c r="L206" i="4"/>
  <c r="G206" i="4"/>
  <c r="P205" i="4"/>
  <c r="G205" i="4"/>
  <c r="P204" i="4"/>
  <c r="G204" i="4"/>
  <c r="P203" i="4"/>
  <c r="G203" i="4"/>
  <c r="P202" i="4"/>
  <c r="G202" i="4"/>
  <c r="G201" i="4"/>
  <c r="G200" i="4"/>
  <c r="P199" i="4"/>
  <c r="G199" i="4"/>
  <c r="P198" i="4"/>
  <c r="G198" i="4"/>
  <c r="G197" i="4"/>
  <c r="L196" i="4"/>
  <c r="P196" i="4" s="1"/>
  <c r="G196" i="4"/>
  <c r="P195" i="4"/>
  <c r="G195" i="4"/>
  <c r="P194" i="4"/>
  <c r="G194" i="4"/>
  <c r="P193" i="4"/>
  <c r="L193" i="4"/>
  <c r="G193" i="4"/>
  <c r="L192" i="4"/>
  <c r="P192" i="4" s="1"/>
  <c r="G192" i="4"/>
  <c r="P191" i="4"/>
  <c r="G191" i="4"/>
  <c r="P190" i="4"/>
  <c r="L190" i="4"/>
  <c r="G190" i="4"/>
  <c r="L189" i="4"/>
  <c r="G189" i="4"/>
  <c r="G188" i="4"/>
  <c r="P187" i="4"/>
  <c r="L187" i="4"/>
  <c r="G187" i="4"/>
  <c r="P186" i="4"/>
  <c r="G186" i="4"/>
  <c r="G185" i="4"/>
  <c r="G184" i="4"/>
  <c r="G183" i="4"/>
  <c r="P182" i="4"/>
  <c r="P181" i="4"/>
  <c r="G181" i="4"/>
  <c r="P180" i="4"/>
  <c r="G180" i="4"/>
  <c r="G179" i="4"/>
  <c r="G178" i="4"/>
  <c r="G177" i="4"/>
  <c r="G176" i="4"/>
  <c r="G175" i="4"/>
  <c r="P174" i="4"/>
  <c r="G174" i="4"/>
  <c r="P173" i="4"/>
  <c r="L173" i="4"/>
  <c r="G173" i="4"/>
  <c r="P172" i="4"/>
  <c r="G172" i="4"/>
  <c r="G171" i="4"/>
  <c r="P170" i="4"/>
  <c r="G170" i="4"/>
  <c r="P169" i="4"/>
  <c r="G169" i="4"/>
  <c r="P168" i="4"/>
  <c r="G168" i="4"/>
  <c r="P167" i="4"/>
  <c r="G167" i="4"/>
  <c r="G166" i="4"/>
  <c r="P165" i="4"/>
  <c r="G165" i="4"/>
  <c r="P164" i="4"/>
  <c r="G164" i="4"/>
  <c r="G163" i="4"/>
  <c r="G162" i="4"/>
  <c r="G161" i="4"/>
  <c r="G160" i="4"/>
  <c r="G159" i="4"/>
  <c r="G158" i="4"/>
  <c r="G157" i="4"/>
  <c r="G156" i="4"/>
  <c r="G155" i="4"/>
  <c r="G154" i="4"/>
  <c r="P153" i="4"/>
  <c r="G153" i="4"/>
  <c r="P152" i="4"/>
  <c r="G152" i="4"/>
  <c r="P151" i="4"/>
  <c r="G151" i="4"/>
  <c r="P150" i="4"/>
  <c r="G150" i="4"/>
  <c r="P149" i="4"/>
  <c r="G149" i="4"/>
  <c r="G148" i="4"/>
  <c r="P147" i="4"/>
  <c r="L146" i="4"/>
  <c r="P146" i="4" s="1"/>
  <c r="G146" i="4"/>
  <c r="P145" i="4"/>
  <c r="L145" i="4"/>
  <c r="G145" i="4"/>
  <c r="P144" i="4"/>
  <c r="G144" i="4"/>
  <c r="P143" i="4"/>
  <c r="G143" i="4"/>
  <c r="P142" i="4"/>
  <c r="G142" i="4"/>
  <c r="P141" i="4"/>
  <c r="G141" i="4"/>
  <c r="P140" i="4"/>
  <c r="G140" i="4"/>
  <c r="P139" i="4"/>
  <c r="G139" i="4"/>
  <c r="P138" i="4"/>
  <c r="G138" i="4"/>
  <c r="P137" i="4"/>
  <c r="G137" i="4"/>
  <c r="P136" i="4"/>
  <c r="G136" i="4"/>
  <c r="G135" i="4"/>
  <c r="G134" i="4"/>
  <c r="P133" i="4"/>
  <c r="G133" i="4"/>
  <c r="P132" i="4"/>
  <c r="G132" i="4"/>
  <c r="G131" i="4"/>
  <c r="P130" i="4"/>
  <c r="G130" i="4"/>
  <c r="P129" i="4"/>
  <c r="G129" i="4"/>
  <c r="P128" i="4"/>
  <c r="G128" i="4"/>
  <c r="P127" i="4"/>
  <c r="G127" i="4"/>
  <c r="G126" i="4"/>
  <c r="P125" i="4"/>
  <c r="G125" i="4"/>
  <c r="L124" i="4"/>
  <c r="P124" i="4" s="1"/>
  <c r="G124" i="4"/>
  <c r="P123" i="4"/>
  <c r="G123" i="4"/>
  <c r="P122" i="4"/>
  <c r="L122" i="4"/>
  <c r="G122" i="4"/>
  <c r="L121" i="4"/>
  <c r="P121" i="4" s="1"/>
  <c r="G121" i="4"/>
  <c r="P120" i="4"/>
  <c r="G120" i="4"/>
  <c r="P119" i="4"/>
  <c r="G119" i="4"/>
  <c r="P118" i="4"/>
  <c r="G118" i="4"/>
  <c r="P117" i="4"/>
  <c r="L117" i="4"/>
  <c r="G117" i="4"/>
  <c r="L116" i="4"/>
  <c r="P116" i="4" s="1"/>
  <c r="G116" i="4"/>
  <c r="P115" i="4"/>
  <c r="L115" i="4"/>
  <c r="G115" i="4"/>
  <c r="P114" i="4"/>
  <c r="G114" i="4"/>
  <c r="P113" i="4"/>
  <c r="G113" i="4"/>
  <c r="P112" i="4"/>
  <c r="G112" i="4"/>
  <c r="P111" i="4"/>
  <c r="G111" i="4"/>
  <c r="P110" i="4"/>
  <c r="G110" i="4"/>
  <c r="L109" i="4"/>
  <c r="P109" i="4" s="1"/>
  <c r="G109" i="4"/>
  <c r="P107" i="4"/>
  <c r="L107" i="4"/>
  <c r="G107" i="4"/>
  <c r="L106" i="4"/>
  <c r="P106" i="4" s="1"/>
  <c r="G106" i="4"/>
  <c r="P105" i="4"/>
  <c r="G105" i="4"/>
  <c r="P104" i="4"/>
  <c r="L104" i="4"/>
  <c r="G104" i="4"/>
  <c r="P103" i="4"/>
  <c r="G103" i="4"/>
  <c r="L102" i="4"/>
  <c r="P102" i="4" s="1"/>
  <c r="G102" i="4"/>
  <c r="P101" i="4"/>
  <c r="G101" i="4"/>
  <c r="P100" i="4"/>
  <c r="L100" i="4"/>
  <c r="G100" i="4"/>
  <c r="P99" i="4"/>
  <c r="G99" i="4"/>
  <c r="P98" i="4"/>
  <c r="G98" i="4"/>
  <c r="P97" i="4"/>
  <c r="G97" i="4"/>
  <c r="P96" i="4"/>
  <c r="G96" i="4"/>
  <c r="L95" i="4"/>
  <c r="P95" i="4" s="1"/>
  <c r="G95" i="4"/>
  <c r="P94" i="4"/>
  <c r="G94" i="4"/>
  <c r="P93" i="4"/>
  <c r="G93" i="4"/>
  <c r="P92" i="4"/>
  <c r="G92" i="4"/>
  <c r="P91" i="4"/>
  <c r="G91" i="4"/>
  <c r="P90" i="4"/>
  <c r="G90" i="4"/>
  <c r="P89" i="4"/>
  <c r="G89" i="4"/>
  <c r="P88" i="4"/>
  <c r="G88" i="4"/>
  <c r="P87" i="4"/>
  <c r="G87" i="4"/>
  <c r="P86" i="4"/>
  <c r="G86" i="4"/>
  <c r="P85" i="4"/>
  <c r="L85" i="4"/>
  <c r="G85" i="4"/>
  <c r="P84" i="4"/>
  <c r="G84" i="4"/>
  <c r="P83" i="4"/>
  <c r="G83" i="4"/>
  <c r="P82" i="4"/>
  <c r="G82" i="4"/>
  <c r="L81" i="4"/>
  <c r="P81" i="4" s="1"/>
  <c r="G81" i="4"/>
  <c r="P80" i="4"/>
  <c r="G80" i="4"/>
  <c r="P79" i="4"/>
  <c r="G79" i="4"/>
  <c r="P78" i="4"/>
  <c r="L78" i="4"/>
  <c r="G78" i="4"/>
  <c r="L77" i="4"/>
  <c r="P77" i="4" s="1"/>
  <c r="G77" i="4"/>
  <c r="P76" i="4"/>
  <c r="G76" i="4"/>
  <c r="P75" i="4"/>
  <c r="G75" i="4"/>
  <c r="P74" i="4"/>
  <c r="G74" i="4"/>
  <c r="P73" i="4"/>
  <c r="G73" i="4"/>
  <c r="P72" i="4"/>
  <c r="G72" i="4"/>
  <c r="P71" i="4"/>
  <c r="G71" i="4"/>
  <c r="P70" i="4"/>
  <c r="L70" i="4"/>
  <c r="G70" i="4"/>
  <c r="P69" i="4"/>
  <c r="G69" i="4"/>
  <c r="P68" i="4"/>
  <c r="G68" i="4"/>
  <c r="P67" i="4"/>
  <c r="G67" i="4"/>
  <c r="P66" i="4"/>
  <c r="G66" i="4"/>
  <c r="P65" i="4"/>
  <c r="G65" i="4"/>
  <c r="P64" i="4"/>
  <c r="G64" i="4"/>
  <c r="L63" i="4"/>
  <c r="P63" i="4" s="1"/>
  <c r="G63" i="4"/>
  <c r="P62" i="4"/>
  <c r="G62" i="4"/>
  <c r="P61" i="4"/>
  <c r="L61" i="4"/>
  <c r="G61" i="4"/>
  <c r="P60" i="4"/>
  <c r="G60" i="4"/>
  <c r="L59" i="4"/>
  <c r="P59" i="4" s="1"/>
  <c r="G59" i="4"/>
  <c r="P58" i="4"/>
  <c r="L58" i="4"/>
  <c r="G58" i="4"/>
  <c r="P57" i="4"/>
  <c r="G57" i="4"/>
  <c r="L56" i="4"/>
  <c r="P56" i="4" s="1"/>
  <c r="G56" i="4"/>
  <c r="P55" i="4"/>
  <c r="G55" i="4"/>
  <c r="P54" i="4"/>
  <c r="G54" i="4"/>
  <c r="P53" i="4"/>
  <c r="G53" i="4"/>
  <c r="P52" i="4"/>
  <c r="L52" i="4"/>
  <c r="G52" i="4"/>
  <c r="P51" i="4"/>
  <c r="G51" i="4"/>
  <c r="P50" i="4"/>
  <c r="G50" i="4"/>
  <c r="L49" i="4"/>
  <c r="P49" i="4" s="1"/>
  <c r="G49" i="4"/>
  <c r="P48" i="4"/>
  <c r="G48" i="4"/>
  <c r="P47" i="4"/>
  <c r="G47" i="4"/>
  <c r="P46" i="4"/>
  <c r="G46" i="4"/>
  <c r="P45" i="4"/>
  <c r="G45" i="4"/>
  <c r="P44" i="4"/>
  <c r="L44" i="4"/>
  <c r="G44" i="4"/>
  <c r="P43" i="4"/>
  <c r="G43" i="4"/>
  <c r="L42" i="4"/>
  <c r="P42" i="4" s="1"/>
  <c r="G42" i="4"/>
  <c r="P41" i="4"/>
  <c r="G41" i="4"/>
  <c r="P40" i="4"/>
  <c r="G40" i="4"/>
  <c r="P39" i="4"/>
  <c r="L39" i="4"/>
  <c r="G39" i="4"/>
  <c r="L38" i="4"/>
  <c r="P38" i="4" s="1"/>
  <c r="G38" i="4"/>
  <c r="P37" i="4"/>
  <c r="L37" i="4"/>
  <c r="G37" i="4"/>
  <c r="P36" i="4"/>
  <c r="G36" i="4"/>
  <c r="P35" i="4"/>
  <c r="G35" i="4"/>
  <c r="P34" i="4"/>
  <c r="G34" i="4"/>
  <c r="P33" i="4"/>
  <c r="G33" i="4"/>
  <c r="L32" i="4"/>
  <c r="P32" i="4" s="1"/>
  <c r="G32" i="4"/>
  <c r="P31" i="4"/>
  <c r="G31" i="4"/>
  <c r="P30" i="4"/>
  <c r="G30" i="4"/>
  <c r="P29" i="4"/>
  <c r="G29" i="4"/>
  <c r="P28" i="4"/>
  <c r="L28" i="4"/>
  <c r="G28" i="4"/>
  <c r="P27" i="4"/>
  <c r="G27" i="4"/>
  <c r="P26" i="4"/>
  <c r="G26" i="4"/>
  <c r="P25" i="4"/>
  <c r="G25" i="4"/>
  <c r="L24" i="4"/>
  <c r="P24" i="4" s="1"/>
  <c r="G24" i="4"/>
  <c r="P23" i="4"/>
  <c r="G23" i="4"/>
  <c r="P22" i="4"/>
  <c r="L22" i="4"/>
  <c r="G22" i="4"/>
  <c r="L21" i="4"/>
  <c r="P21" i="4" s="1"/>
  <c r="G21" i="4"/>
  <c r="P20" i="4"/>
  <c r="L20" i="4"/>
  <c r="G20" i="4"/>
  <c r="P19" i="4"/>
  <c r="G19" i="4"/>
  <c r="P18" i="4"/>
  <c r="G18" i="4"/>
  <c r="P17" i="4"/>
  <c r="G17" i="4"/>
  <c r="P16" i="4"/>
  <c r="G16" i="4"/>
  <c r="P15" i="4"/>
  <c r="G15" i="4"/>
  <c r="L14" i="4"/>
  <c r="P14" i="4" s="1"/>
  <c r="G14" i="4"/>
  <c r="P13" i="4"/>
  <c r="L13" i="4"/>
  <c r="G13" i="4"/>
  <c r="L12" i="4"/>
  <c r="P12" i="4" s="1"/>
  <c r="G12" i="4"/>
  <c r="P11" i="4"/>
  <c r="L11" i="4"/>
  <c r="G11" i="4"/>
  <c r="P10" i="4"/>
  <c r="G10" i="4"/>
  <c r="L9" i="4"/>
  <c r="P9" i="4" s="1"/>
  <c r="G9" i="4"/>
  <c r="P8" i="4"/>
  <c r="G8" i="4"/>
  <c r="P7" i="4"/>
  <c r="L7" i="4"/>
  <c r="G7" i="4"/>
  <c r="P6" i="4"/>
  <c r="G6" i="4"/>
  <c r="L5" i="4"/>
  <c r="P5" i="4" s="1"/>
  <c r="G5" i="4"/>
  <c r="P4" i="4"/>
  <c r="G4" i="4"/>
  <c r="P3" i="4"/>
  <c r="G3" i="4"/>
  <c r="P291" i="3"/>
  <c r="P288" i="3"/>
  <c r="G288" i="3"/>
  <c r="P287" i="3"/>
  <c r="G287" i="3"/>
  <c r="L286" i="3"/>
  <c r="P286" i="3" s="1"/>
  <c r="G286" i="3"/>
  <c r="P285" i="3"/>
  <c r="L285" i="3"/>
  <c r="G285" i="3"/>
  <c r="P284" i="3"/>
  <c r="G284" i="3"/>
  <c r="P283" i="3"/>
  <c r="G283" i="3"/>
  <c r="L282" i="3"/>
  <c r="P282" i="3" s="1"/>
  <c r="G282" i="3"/>
  <c r="P281" i="3"/>
  <c r="G281" i="3"/>
  <c r="P280" i="3"/>
  <c r="L280" i="3"/>
  <c r="G280" i="3"/>
  <c r="L279" i="3"/>
  <c r="P279" i="3" s="1"/>
  <c r="G279" i="3"/>
  <c r="P278" i="3"/>
  <c r="G278" i="3"/>
  <c r="P277" i="3"/>
  <c r="G277" i="3"/>
  <c r="P276" i="3"/>
  <c r="L276" i="3"/>
  <c r="G276" i="3"/>
  <c r="L275" i="3"/>
  <c r="P275" i="3" s="1"/>
  <c r="G275" i="3"/>
  <c r="P274" i="3"/>
  <c r="G274" i="3"/>
  <c r="P273" i="3"/>
  <c r="L273" i="3"/>
  <c r="G273" i="3"/>
  <c r="P272" i="3"/>
  <c r="G272" i="3"/>
  <c r="L271" i="3"/>
  <c r="P271" i="3" s="1"/>
  <c r="G271" i="3"/>
  <c r="P270" i="3"/>
  <c r="G270" i="3"/>
  <c r="P269" i="3"/>
  <c r="G269" i="3"/>
  <c r="P268" i="3"/>
  <c r="G268" i="3"/>
  <c r="P267" i="3"/>
  <c r="G267" i="3"/>
  <c r="P266" i="3"/>
  <c r="G266" i="3"/>
  <c r="P265" i="3"/>
  <c r="G265" i="3"/>
  <c r="G264" i="3"/>
  <c r="G263" i="3"/>
  <c r="G262" i="3"/>
  <c r="L261" i="3"/>
  <c r="P261" i="3" s="1"/>
  <c r="G261" i="3"/>
  <c r="P260" i="3"/>
  <c r="L260" i="3"/>
  <c r="G260" i="3"/>
  <c r="G259" i="3"/>
  <c r="G258" i="3"/>
  <c r="G257" i="3"/>
  <c r="G256" i="3"/>
  <c r="G255" i="3"/>
  <c r="G254" i="3"/>
  <c r="P253" i="3"/>
  <c r="G253" i="3"/>
  <c r="P252" i="3"/>
  <c r="G252" i="3"/>
  <c r="L251" i="3"/>
  <c r="P251" i="3" s="1"/>
  <c r="G251" i="3"/>
  <c r="P250" i="3"/>
  <c r="G250" i="3"/>
  <c r="G249" i="3"/>
  <c r="G248" i="3"/>
  <c r="G247" i="3"/>
  <c r="P246" i="3"/>
  <c r="G246" i="3"/>
  <c r="P245" i="3"/>
  <c r="G245" i="3"/>
  <c r="L244" i="3"/>
  <c r="P244" i="3" s="1"/>
  <c r="G244" i="3"/>
  <c r="P243" i="3"/>
  <c r="L243" i="3"/>
  <c r="G243" i="3"/>
  <c r="G242" i="3"/>
  <c r="G241" i="3"/>
  <c r="G240" i="3"/>
  <c r="P239" i="3"/>
  <c r="G239" i="3"/>
  <c r="P238" i="3"/>
  <c r="G238" i="3"/>
  <c r="P237" i="3"/>
  <c r="L237" i="3"/>
  <c r="G237" i="3"/>
  <c r="L236" i="3"/>
  <c r="P236" i="3" s="1"/>
  <c r="G236" i="3"/>
  <c r="G235" i="3"/>
  <c r="G234" i="3"/>
  <c r="G233" i="3"/>
  <c r="G232" i="3"/>
  <c r="G231" i="3"/>
  <c r="P230" i="3"/>
  <c r="G230" i="3"/>
  <c r="P229" i="3"/>
  <c r="G229" i="3"/>
  <c r="G228" i="3"/>
  <c r="P227" i="3"/>
  <c r="G227" i="3"/>
  <c r="P226" i="3"/>
  <c r="L226" i="3"/>
  <c r="G226" i="3"/>
  <c r="M225" i="3"/>
  <c r="L225" i="3"/>
  <c r="P225" i="3" s="1"/>
  <c r="G225" i="3"/>
  <c r="G224" i="3"/>
  <c r="L223" i="3"/>
  <c r="G223" i="3"/>
  <c r="M222" i="3"/>
  <c r="G222" i="3"/>
  <c r="P221" i="3"/>
  <c r="L221" i="3"/>
  <c r="G221" i="3"/>
  <c r="L220" i="3"/>
  <c r="P220" i="3" s="1"/>
  <c r="G220" i="3"/>
  <c r="G219" i="3"/>
  <c r="L218" i="3"/>
  <c r="G218" i="3"/>
  <c r="P217" i="3"/>
  <c r="G217" i="3"/>
  <c r="L216" i="3"/>
  <c r="P216" i="3" s="1"/>
  <c r="G216" i="3"/>
  <c r="P215" i="3"/>
  <c r="L215" i="3"/>
  <c r="G215" i="3"/>
  <c r="G214" i="3"/>
  <c r="P213" i="3"/>
  <c r="G213" i="3"/>
  <c r="P212" i="3"/>
  <c r="G212" i="3"/>
  <c r="P211" i="3"/>
  <c r="G211" i="3"/>
  <c r="P210" i="3"/>
  <c r="G210" i="3"/>
  <c r="P209" i="3"/>
  <c r="G209" i="3"/>
  <c r="P208" i="3"/>
  <c r="G208" i="3"/>
  <c r="P207" i="3"/>
  <c r="G207" i="3"/>
  <c r="L206" i="3"/>
  <c r="G206" i="3"/>
  <c r="P205" i="3"/>
  <c r="G205" i="3"/>
  <c r="P204" i="3"/>
  <c r="G204" i="3"/>
  <c r="P203" i="3"/>
  <c r="G203" i="3"/>
  <c r="P202" i="3"/>
  <c r="G202" i="3"/>
  <c r="G201" i="3"/>
  <c r="G200" i="3"/>
  <c r="P199" i="3"/>
  <c r="G199" i="3"/>
  <c r="P198" i="3"/>
  <c r="G198" i="3"/>
  <c r="G197" i="3"/>
  <c r="L196" i="3"/>
  <c r="P196" i="3" s="1"/>
  <c r="G196" i="3"/>
  <c r="P195" i="3"/>
  <c r="G195" i="3"/>
  <c r="P194" i="3"/>
  <c r="G194" i="3"/>
  <c r="P193" i="3"/>
  <c r="L193" i="3"/>
  <c r="G193" i="3"/>
  <c r="L192" i="3"/>
  <c r="P192" i="3" s="1"/>
  <c r="G192" i="3"/>
  <c r="P191" i="3"/>
  <c r="G191" i="3"/>
  <c r="L190" i="3"/>
  <c r="P190" i="3" s="1"/>
  <c r="G190" i="3"/>
  <c r="L189" i="3"/>
  <c r="G189" i="3"/>
  <c r="G188" i="3"/>
  <c r="L187" i="3"/>
  <c r="P187" i="3" s="1"/>
  <c r="G187" i="3"/>
  <c r="P186" i="3"/>
  <c r="G186" i="3"/>
  <c r="G185" i="3"/>
  <c r="G184" i="3"/>
  <c r="G183" i="3"/>
  <c r="P182" i="3"/>
  <c r="P181" i="3"/>
  <c r="G181" i="3"/>
  <c r="P180" i="3"/>
  <c r="G180" i="3"/>
  <c r="G179" i="3"/>
  <c r="G178" i="3"/>
  <c r="G177" i="3"/>
  <c r="G176" i="3"/>
  <c r="G175" i="3"/>
  <c r="P174" i="3"/>
  <c r="G174" i="3"/>
  <c r="L173" i="3"/>
  <c r="P173" i="3" s="1"/>
  <c r="G173" i="3"/>
  <c r="P172" i="3"/>
  <c r="G172" i="3"/>
  <c r="G171" i="3"/>
  <c r="P170" i="3"/>
  <c r="G170" i="3"/>
  <c r="P169" i="3"/>
  <c r="G169" i="3"/>
  <c r="P168" i="3"/>
  <c r="G168" i="3"/>
  <c r="P167" i="3"/>
  <c r="G167" i="3"/>
  <c r="G166" i="3"/>
  <c r="P165" i="3"/>
  <c r="G165" i="3"/>
  <c r="P164" i="3"/>
  <c r="G164" i="3"/>
  <c r="G163" i="3"/>
  <c r="G162" i="3"/>
  <c r="G161" i="3"/>
  <c r="G160" i="3"/>
  <c r="G159" i="3"/>
  <c r="G158" i="3"/>
  <c r="G157" i="3"/>
  <c r="G156" i="3"/>
  <c r="G155" i="3"/>
  <c r="G154" i="3"/>
  <c r="P153" i="3"/>
  <c r="G153" i="3"/>
  <c r="P152" i="3"/>
  <c r="G152" i="3"/>
  <c r="P151" i="3"/>
  <c r="G151" i="3"/>
  <c r="P150" i="3"/>
  <c r="G150" i="3"/>
  <c r="P149" i="3"/>
  <c r="G149" i="3"/>
  <c r="G148" i="3"/>
  <c r="P147" i="3"/>
  <c r="P146" i="3"/>
  <c r="L146" i="3"/>
  <c r="G146" i="3"/>
  <c r="L145" i="3"/>
  <c r="P145" i="3" s="1"/>
  <c r="G145" i="3"/>
  <c r="P144" i="3"/>
  <c r="G144" i="3"/>
  <c r="P143" i="3"/>
  <c r="G143" i="3"/>
  <c r="P142" i="3"/>
  <c r="G142" i="3"/>
  <c r="P141" i="3"/>
  <c r="G141" i="3"/>
  <c r="P140" i="3"/>
  <c r="G140" i="3"/>
  <c r="P139" i="3"/>
  <c r="G139" i="3"/>
  <c r="P138" i="3"/>
  <c r="G138" i="3"/>
  <c r="P137" i="3"/>
  <c r="G137" i="3"/>
  <c r="P136" i="3"/>
  <c r="G136" i="3"/>
  <c r="G135" i="3"/>
  <c r="G134" i="3"/>
  <c r="P133" i="3"/>
  <c r="G133" i="3"/>
  <c r="P132" i="3"/>
  <c r="G132" i="3"/>
  <c r="G131" i="3"/>
  <c r="P130" i="3"/>
  <c r="G130" i="3"/>
  <c r="P129" i="3"/>
  <c r="G129" i="3"/>
  <c r="P128" i="3"/>
  <c r="G128" i="3"/>
  <c r="P127" i="3"/>
  <c r="G127" i="3"/>
  <c r="G126" i="3"/>
  <c r="P125" i="3"/>
  <c r="G125" i="3"/>
  <c r="P124" i="3"/>
  <c r="L124" i="3"/>
  <c r="G124" i="3"/>
  <c r="P123" i="3"/>
  <c r="G123" i="3"/>
  <c r="L122" i="3"/>
  <c r="P122" i="3" s="1"/>
  <c r="G122" i="3"/>
  <c r="P121" i="3"/>
  <c r="L121" i="3"/>
  <c r="G121" i="3"/>
  <c r="P120" i="3"/>
  <c r="G120" i="3"/>
  <c r="P119" i="3"/>
  <c r="G119" i="3"/>
  <c r="P118" i="3"/>
  <c r="G118" i="3"/>
  <c r="L117" i="3"/>
  <c r="P117" i="3" s="1"/>
  <c r="G117" i="3"/>
  <c r="P116" i="3"/>
  <c r="L116" i="3"/>
  <c r="G116" i="3"/>
  <c r="L115" i="3"/>
  <c r="P115" i="3" s="1"/>
  <c r="G115" i="3"/>
  <c r="P114" i="3"/>
  <c r="G114" i="3"/>
  <c r="P113" i="3"/>
  <c r="G113" i="3"/>
  <c r="P112" i="3"/>
  <c r="G112" i="3"/>
  <c r="P111" i="3"/>
  <c r="G111" i="3"/>
  <c r="P110" i="3"/>
  <c r="G110" i="3"/>
  <c r="P109" i="3"/>
  <c r="L109" i="3"/>
  <c r="G109" i="3"/>
  <c r="L107" i="3"/>
  <c r="P107" i="3" s="1"/>
  <c r="G107" i="3"/>
  <c r="P106" i="3"/>
  <c r="L106" i="3"/>
  <c r="G106" i="3"/>
  <c r="P105" i="3"/>
  <c r="G105" i="3"/>
  <c r="L104" i="3"/>
  <c r="P104" i="3" s="1"/>
  <c r="G104" i="3"/>
  <c r="P103" i="3"/>
  <c r="G103" i="3"/>
  <c r="P102" i="3"/>
  <c r="L102" i="3"/>
  <c r="G102" i="3"/>
  <c r="P101" i="3"/>
  <c r="G101" i="3"/>
  <c r="L100" i="3"/>
  <c r="P100" i="3" s="1"/>
  <c r="G100" i="3"/>
  <c r="P99" i="3"/>
  <c r="G99" i="3"/>
  <c r="P98" i="3"/>
  <c r="G98" i="3"/>
  <c r="P97" i="3"/>
  <c r="G97" i="3"/>
  <c r="P96" i="3"/>
  <c r="G96" i="3"/>
  <c r="P95" i="3"/>
  <c r="L95" i="3"/>
  <c r="G95" i="3"/>
  <c r="P94" i="3"/>
  <c r="G94" i="3"/>
  <c r="P93" i="3"/>
  <c r="G93" i="3"/>
  <c r="P92" i="3"/>
  <c r="G92" i="3"/>
  <c r="P91" i="3"/>
  <c r="G91" i="3"/>
  <c r="P90" i="3"/>
  <c r="G90" i="3"/>
  <c r="P89" i="3"/>
  <c r="G89" i="3"/>
  <c r="P88" i="3"/>
  <c r="G88" i="3"/>
  <c r="P87" i="3"/>
  <c r="G87" i="3"/>
  <c r="P86" i="3"/>
  <c r="G86" i="3"/>
  <c r="L85" i="3"/>
  <c r="P85" i="3" s="1"/>
  <c r="G85" i="3"/>
  <c r="P84" i="3"/>
  <c r="G84" i="3"/>
  <c r="P83" i="3"/>
  <c r="G83" i="3"/>
  <c r="P82" i="3"/>
  <c r="G82" i="3"/>
  <c r="P81" i="3"/>
  <c r="L81" i="3"/>
  <c r="G81" i="3"/>
  <c r="P80" i="3"/>
  <c r="G80" i="3"/>
  <c r="P79" i="3"/>
  <c r="G79" i="3"/>
  <c r="L78" i="3"/>
  <c r="P78" i="3" s="1"/>
  <c r="G78" i="3"/>
  <c r="P77" i="3"/>
  <c r="L77" i="3"/>
  <c r="G77" i="3"/>
  <c r="P76" i="3"/>
  <c r="G76" i="3"/>
  <c r="P75" i="3"/>
  <c r="G75" i="3"/>
  <c r="P74" i="3"/>
  <c r="G74" i="3"/>
  <c r="P73" i="3"/>
  <c r="G73" i="3"/>
  <c r="P72" i="3"/>
  <c r="G72" i="3"/>
  <c r="P71" i="3"/>
  <c r="G71" i="3"/>
  <c r="L70" i="3"/>
  <c r="P70" i="3" s="1"/>
  <c r="G70" i="3"/>
  <c r="P69" i="3"/>
  <c r="G69" i="3"/>
  <c r="P68" i="3"/>
  <c r="G68" i="3"/>
  <c r="P67" i="3"/>
  <c r="G67" i="3"/>
  <c r="P66" i="3"/>
  <c r="G66" i="3"/>
  <c r="P65" i="3"/>
  <c r="G65" i="3"/>
  <c r="P64" i="3"/>
  <c r="G64" i="3"/>
  <c r="P63" i="3"/>
  <c r="L63" i="3"/>
  <c r="G63" i="3"/>
  <c r="P62" i="3"/>
  <c r="G62" i="3"/>
  <c r="L61" i="3"/>
  <c r="P61" i="3" s="1"/>
  <c r="G61" i="3"/>
  <c r="P60" i="3"/>
  <c r="G60" i="3"/>
  <c r="P59" i="3"/>
  <c r="L59" i="3"/>
  <c r="G59" i="3"/>
  <c r="L58" i="3"/>
  <c r="P58" i="3" s="1"/>
  <c r="G58" i="3"/>
  <c r="P57" i="3"/>
  <c r="G57" i="3"/>
  <c r="P56" i="3"/>
  <c r="L56" i="3"/>
  <c r="G56" i="3"/>
  <c r="P55" i="3"/>
  <c r="G55" i="3"/>
  <c r="P54" i="3"/>
  <c r="G54" i="3"/>
  <c r="P53" i="3"/>
  <c r="G53" i="3"/>
  <c r="P52" i="3"/>
  <c r="G52" i="3"/>
  <c r="P51" i="3"/>
  <c r="G51" i="3"/>
  <c r="P50" i="3"/>
  <c r="G50" i="3"/>
  <c r="L49" i="3"/>
  <c r="P49" i="3" s="1"/>
  <c r="G49" i="3"/>
  <c r="P48" i="3"/>
  <c r="G48" i="3"/>
  <c r="P47" i="3"/>
  <c r="G47" i="3"/>
  <c r="P46" i="3"/>
  <c r="G46" i="3"/>
  <c r="P45" i="3"/>
  <c r="G45" i="3"/>
  <c r="P44" i="3"/>
  <c r="L44" i="3"/>
  <c r="G44" i="3"/>
  <c r="P43" i="3"/>
  <c r="G43" i="3"/>
  <c r="L42" i="3"/>
  <c r="P42" i="3" s="1"/>
  <c r="G42" i="3"/>
  <c r="P41" i="3"/>
  <c r="G41" i="3"/>
  <c r="P40" i="3"/>
  <c r="G40" i="3"/>
  <c r="P39" i="3"/>
  <c r="L39" i="3"/>
  <c r="G39" i="3"/>
  <c r="L38" i="3"/>
  <c r="P38" i="3" s="1"/>
  <c r="G38" i="3"/>
  <c r="P37" i="3"/>
  <c r="L37" i="3"/>
  <c r="G37" i="3"/>
  <c r="P36" i="3"/>
  <c r="G36" i="3"/>
  <c r="P35" i="3"/>
  <c r="G35" i="3"/>
  <c r="P34" i="3"/>
  <c r="G34" i="3"/>
  <c r="P33" i="3"/>
  <c r="G33" i="3"/>
  <c r="L32" i="3"/>
  <c r="P32" i="3" s="1"/>
  <c r="G32" i="3"/>
  <c r="P31" i="3"/>
  <c r="G31" i="3"/>
  <c r="P30" i="3"/>
  <c r="G30" i="3"/>
  <c r="P29" i="3"/>
  <c r="G29" i="3"/>
  <c r="P28" i="3"/>
  <c r="L28" i="3"/>
  <c r="G28" i="3"/>
  <c r="P27" i="3"/>
  <c r="G27" i="3"/>
  <c r="P26" i="3"/>
  <c r="G26" i="3"/>
  <c r="P25" i="3"/>
  <c r="G25" i="3"/>
  <c r="L24" i="3"/>
  <c r="P24" i="3" s="1"/>
  <c r="G24" i="3"/>
  <c r="P23" i="3"/>
  <c r="G23" i="3"/>
  <c r="P22" i="3"/>
  <c r="L22" i="3"/>
  <c r="G22" i="3"/>
  <c r="L21" i="3"/>
  <c r="P21" i="3" s="1"/>
  <c r="G21" i="3"/>
  <c r="P20" i="3"/>
  <c r="L20" i="3"/>
  <c r="G20" i="3"/>
  <c r="P19" i="3"/>
  <c r="G19" i="3"/>
  <c r="P18" i="3"/>
  <c r="G18" i="3"/>
  <c r="P17" i="3"/>
  <c r="G17" i="3"/>
  <c r="P16" i="3"/>
  <c r="G16" i="3"/>
  <c r="P15" i="3"/>
  <c r="G15" i="3"/>
  <c r="L14" i="3"/>
  <c r="P14" i="3" s="1"/>
  <c r="G14" i="3"/>
  <c r="P13" i="3"/>
  <c r="L13" i="3"/>
  <c r="G13" i="3"/>
  <c r="L12" i="3"/>
  <c r="P12" i="3" s="1"/>
  <c r="G12" i="3"/>
  <c r="P11" i="3"/>
  <c r="L11" i="3"/>
  <c r="G11" i="3"/>
  <c r="P10" i="3"/>
  <c r="G10" i="3"/>
  <c r="L9" i="3"/>
  <c r="P9" i="3" s="1"/>
  <c r="G9" i="3"/>
  <c r="P8" i="3"/>
  <c r="G8" i="3"/>
  <c r="P7" i="3"/>
  <c r="L7" i="3"/>
  <c r="G7" i="3"/>
  <c r="P6" i="3"/>
  <c r="G6" i="3"/>
  <c r="L5" i="3"/>
  <c r="P5" i="3" s="1"/>
  <c r="G5" i="3"/>
  <c r="P4" i="3"/>
  <c r="G4" i="3"/>
  <c r="P3" i="3"/>
  <c r="G3" i="3"/>
  <c r="P281" i="2"/>
  <c r="P278" i="2"/>
  <c r="G278" i="2"/>
  <c r="P277" i="2"/>
  <c r="G277" i="2"/>
  <c r="L276" i="2"/>
  <c r="P276" i="2" s="1"/>
  <c r="G276" i="2"/>
  <c r="P275" i="2"/>
  <c r="L275" i="2"/>
  <c r="G275" i="2"/>
  <c r="P274" i="2"/>
  <c r="G274" i="2"/>
  <c r="P273" i="2"/>
  <c r="G273" i="2"/>
  <c r="L272" i="2"/>
  <c r="P272" i="2" s="1"/>
  <c r="G272" i="2"/>
  <c r="G271" i="2"/>
  <c r="G270" i="2"/>
  <c r="P269" i="2"/>
  <c r="G269" i="2"/>
  <c r="G268" i="2"/>
  <c r="P267" i="2"/>
  <c r="G267" i="2"/>
  <c r="L266" i="2"/>
  <c r="P266" i="2" s="1"/>
  <c r="G266" i="2"/>
  <c r="P265" i="2"/>
  <c r="L265" i="2"/>
  <c r="G265" i="2"/>
  <c r="P264" i="2"/>
  <c r="G264" i="2"/>
  <c r="L263" i="2"/>
  <c r="P263" i="2" s="1"/>
  <c r="G263" i="2"/>
  <c r="P262" i="2"/>
  <c r="G262" i="2"/>
  <c r="P261" i="2"/>
  <c r="L261" i="2"/>
  <c r="G261" i="2"/>
  <c r="P260" i="2"/>
  <c r="G260" i="2"/>
  <c r="P259" i="2"/>
  <c r="G259" i="2"/>
  <c r="P258" i="2"/>
  <c r="G258" i="2"/>
  <c r="P257" i="2"/>
  <c r="G257" i="2"/>
  <c r="P256" i="2"/>
  <c r="G256" i="2"/>
  <c r="P255" i="2"/>
  <c r="G255" i="2"/>
  <c r="G254" i="2"/>
  <c r="G253" i="2"/>
  <c r="G252" i="2"/>
  <c r="P251" i="2"/>
  <c r="L251" i="2"/>
  <c r="G251" i="2"/>
  <c r="L250" i="2"/>
  <c r="P250" i="2" s="1"/>
  <c r="G250" i="2"/>
  <c r="G249" i="2"/>
  <c r="G248" i="2"/>
  <c r="P247" i="2"/>
  <c r="G247" i="2"/>
  <c r="P246" i="2"/>
  <c r="G246" i="2"/>
  <c r="P245" i="2"/>
  <c r="L245" i="2"/>
  <c r="G245" i="2"/>
  <c r="P244" i="2"/>
  <c r="G244" i="2"/>
  <c r="G243" i="2"/>
  <c r="P242" i="2"/>
  <c r="G242" i="2"/>
  <c r="P241" i="2"/>
  <c r="G241" i="2"/>
  <c r="P240" i="2"/>
  <c r="L240" i="2"/>
  <c r="G240" i="2"/>
  <c r="L239" i="2"/>
  <c r="P239" i="2" s="1"/>
  <c r="G239" i="2"/>
  <c r="G238" i="2"/>
  <c r="G237" i="2"/>
  <c r="G236" i="2"/>
  <c r="P235" i="2"/>
  <c r="G235" i="2"/>
  <c r="P234" i="2"/>
  <c r="G234" i="2"/>
  <c r="L233" i="2"/>
  <c r="P233" i="2" s="1"/>
  <c r="G233" i="2"/>
  <c r="P232" i="2"/>
  <c r="L232" i="2"/>
  <c r="G232" i="2"/>
  <c r="G231" i="2"/>
  <c r="G230" i="2"/>
  <c r="G229" i="2"/>
  <c r="G228" i="2"/>
  <c r="G227" i="2"/>
  <c r="P226" i="2"/>
  <c r="G226" i="2"/>
  <c r="P225" i="2"/>
  <c r="G225" i="2"/>
  <c r="G224" i="2"/>
  <c r="P223" i="2"/>
  <c r="G223" i="2"/>
  <c r="L222" i="2"/>
  <c r="P222" i="2" s="1"/>
  <c r="G222" i="2"/>
  <c r="M221" i="2"/>
  <c r="L221" i="2"/>
  <c r="P221" i="2" s="1"/>
  <c r="G221" i="2"/>
  <c r="G220" i="2"/>
  <c r="M219" i="2"/>
  <c r="G219" i="2"/>
  <c r="L218" i="2"/>
  <c r="P218" i="2" s="1"/>
  <c r="G218" i="2"/>
  <c r="P217" i="2"/>
  <c r="L217" i="2"/>
  <c r="G217" i="2"/>
  <c r="G216" i="2"/>
  <c r="P215" i="2"/>
  <c r="G215" i="2"/>
  <c r="P214" i="2"/>
  <c r="L214" i="2"/>
  <c r="G214" i="2"/>
  <c r="L213" i="2"/>
  <c r="P213" i="2" s="1"/>
  <c r="G213" i="2"/>
  <c r="G212" i="2"/>
  <c r="P211" i="2"/>
  <c r="G211" i="2"/>
  <c r="P210" i="2"/>
  <c r="G210" i="2"/>
  <c r="P209" i="2"/>
  <c r="G209" i="2"/>
  <c r="P208" i="2"/>
  <c r="G208" i="2"/>
  <c r="P207" i="2"/>
  <c r="G207" i="2"/>
  <c r="P206" i="2"/>
  <c r="G206" i="2"/>
  <c r="P205" i="2"/>
  <c r="G205" i="2"/>
  <c r="L204" i="2"/>
  <c r="G204" i="2"/>
  <c r="P203" i="2"/>
  <c r="G203" i="2"/>
  <c r="P202" i="2"/>
  <c r="G202" i="2"/>
  <c r="P201" i="2"/>
  <c r="G201" i="2"/>
  <c r="P200" i="2"/>
  <c r="G200" i="2"/>
  <c r="G199" i="2"/>
  <c r="G198" i="2"/>
  <c r="P197" i="2"/>
  <c r="G197" i="2"/>
  <c r="P196" i="2"/>
  <c r="G196" i="2"/>
  <c r="L195" i="2"/>
  <c r="P195" i="2" s="1"/>
  <c r="G195" i="2"/>
  <c r="P194" i="2"/>
  <c r="G194" i="2"/>
  <c r="P193" i="2"/>
  <c r="G193" i="2"/>
  <c r="P192" i="2"/>
  <c r="L192" i="2"/>
  <c r="G192" i="2"/>
  <c r="L191" i="2"/>
  <c r="P191" i="2" s="1"/>
  <c r="G191" i="2"/>
  <c r="P190" i="2"/>
  <c r="G190" i="2"/>
  <c r="P189" i="2"/>
  <c r="L189" i="2"/>
  <c r="G189" i="2"/>
  <c r="L188" i="2"/>
  <c r="G188" i="2"/>
  <c r="G187" i="2"/>
  <c r="P186" i="2"/>
  <c r="L186" i="2"/>
  <c r="G186" i="2"/>
  <c r="P185" i="2"/>
  <c r="G185" i="2"/>
  <c r="G184" i="2"/>
  <c r="G183" i="2"/>
  <c r="P182" i="2"/>
  <c r="P181" i="2"/>
  <c r="G181" i="2"/>
  <c r="P180" i="2"/>
  <c r="G180" i="2"/>
  <c r="G179" i="2"/>
  <c r="G178" i="2"/>
  <c r="G177" i="2"/>
  <c r="G176" i="2"/>
  <c r="G175" i="2"/>
  <c r="P174" i="2"/>
  <c r="G174" i="2"/>
  <c r="L173" i="2"/>
  <c r="P173" i="2" s="1"/>
  <c r="G173" i="2"/>
  <c r="P172" i="2"/>
  <c r="G172" i="2"/>
  <c r="G171" i="2"/>
  <c r="P170" i="2"/>
  <c r="G170" i="2"/>
  <c r="P169" i="2"/>
  <c r="G169" i="2"/>
  <c r="P168" i="2"/>
  <c r="G168" i="2"/>
  <c r="P167" i="2"/>
  <c r="G167" i="2"/>
  <c r="G166" i="2"/>
  <c r="P165" i="2"/>
  <c r="G165" i="2"/>
  <c r="P164" i="2"/>
  <c r="G164" i="2"/>
  <c r="G163" i="2"/>
  <c r="G162" i="2"/>
  <c r="G161" i="2"/>
  <c r="G160" i="2"/>
  <c r="G159" i="2"/>
  <c r="G158" i="2"/>
  <c r="G157" i="2"/>
  <c r="G156" i="2"/>
  <c r="G155" i="2"/>
  <c r="G154" i="2"/>
  <c r="P153" i="2"/>
  <c r="G153" i="2"/>
  <c r="P152" i="2"/>
  <c r="G152" i="2"/>
  <c r="P151" i="2"/>
  <c r="G151" i="2"/>
  <c r="P150" i="2"/>
  <c r="G150" i="2"/>
  <c r="P149" i="2"/>
  <c r="G149" i="2"/>
  <c r="G148" i="2"/>
  <c r="P147" i="2"/>
  <c r="P146" i="2"/>
  <c r="L146" i="2"/>
  <c r="G146" i="2"/>
  <c r="L145" i="2"/>
  <c r="P145" i="2" s="1"/>
  <c r="G145" i="2"/>
  <c r="P144" i="2"/>
  <c r="G144" i="2"/>
  <c r="P143" i="2"/>
  <c r="G143" i="2"/>
  <c r="P142" i="2"/>
  <c r="G142" i="2"/>
  <c r="P141" i="2"/>
  <c r="G141" i="2"/>
  <c r="P140" i="2"/>
  <c r="G140" i="2"/>
  <c r="P139" i="2"/>
  <c r="G139" i="2"/>
  <c r="P138" i="2"/>
  <c r="G138" i="2"/>
  <c r="P137" i="2"/>
  <c r="G137" i="2"/>
  <c r="P136" i="2"/>
  <c r="G136" i="2"/>
  <c r="G135" i="2"/>
  <c r="G134" i="2"/>
  <c r="P133" i="2"/>
  <c r="G133" i="2"/>
  <c r="P132" i="2"/>
  <c r="G132" i="2"/>
  <c r="G131" i="2"/>
  <c r="P130" i="2"/>
  <c r="G130" i="2"/>
  <c r="P129" i="2"/>
  <c r="G129" i="2"/>
  <c r="P128" i="2"/>
  <c r="G128" i="2"/>
  <c r="P127" i="2"/>
  <c r="G127" i="2"/>
  <c r="G126" i="2"/>
  <c r="P125" i="2"/>
  <c r="G125" i="2"/>
  <c r="P124" i="2"/>
  <c r="L124" i="2"/>
  <c r="G124" i="2"/>
  <c r="P123" i="2"/>
  <c r="G123" i="2"/>
  <c r="L122" i="2"/>
  <c r="P122" i="2" s="1"/>
  <c r="G122" i="2"/>
  <c r="P121" i="2"/>
  <c r="L121" i="2"/>
  <c r="G121" i="2"/>
  <c r="P120" i="2"/>
  <c r="G120" i="2"/>
  <c r="P119" i="2"/>
  <c r="G119" i="2"/>
  <c r="P118" i="2"/>
  <c r="G118" i="2"/>
  <c r="L117" i="2"/>
  <c r="P117" i="2" s="1"/>
  <c r="G117" i="2"/>
  <c r="P116" i="2"/>
  <c r="L116" i="2"/>
  <c r="G116" i="2"/>
  <c r="L115" i="2"/>
  <c r="P115" i="2" s="1"/>
  <c r="G115" i="2"/>
  <c r="P114" i="2"/>
  <c r="G114" i="2"/>
  <c r="P113" i="2"/>
  <c r="G113" i="2"/>
  <c r="P112" i="2"/>
  <c r="G112" i="2"/>
  <c r="P111" i="2"/>
  <c r="G111" i="2"/>
  <c r="P110" i="2"/>
  <c r="G110" i="2"/>
  <c r="P109" i="2"/>
  <c r="L109" i="2"/>
  <c r="G109" i="2"/>
  <c r="L107" i="2"/>
  <c r="P107" i="2" s="1"/>
  <c r="G107" i="2"/>
  <c r="P106" i="2"/>
  <c r="L106" i="2"/>
  <c r="G106" i="2"/>
  <c r="P105" i="2"/>
  <c r="G105" i="2"/>
  <c r="L104" i="2"/>
  <c r="P104" i="2" s="1"/>
  <c r="G104" i="2"/>
  <c r="P103" i="2"/>
  <c r="G103" i="2"/>
  <c r="P102" i="2"/>
  <c r="L102" i="2"/>
  <c r="G102" i="2"/>
  <c r="P101" i="2"/>
  <c r="G101" i="2"/>
  <c r="P100" i="2"/>
  <c r="G100" i="2"/>
  <c r="P99" i="2"/>
  <c r="G99" i="2"/>
  <c r="P98" i="2"/>
  <c r="G98" i="2"/>
  <c r="P97" i="2"/>
  <c r="G97" i="2"/>
  <c r="P96" i="2"/>
  <c r="G96" i="2"/>
  <c r="L95" i="2"/>
  <c r="P95" i="2" s="1"/>
  <c r="G95" i="2"/>
  <c r="P94" i="2"/>
  <c r="G94" i="2"/>
  <c r="P93" i="2"/>
  <c r="G93" i="2"/>
  <c r="P92" i="2"/>
  <c r="G92" i="2"/>
  <c r="P91" i="2"/>
  <c r="G91" i="2"/>
  <c r="P90" i="2"/>
  <c r="G90" i="2"/>
  <c r="P89" i="2"/>
  <c r="G89" i="2"/>
  <c r="P88" i="2"/>
  <c r="G88" i="2"/>
  <c r="P87" i="2"/>
  <c r="G87" i="2"/>
  <c r="P86" i="2"/>
  <c r="G86" i="2"/>
  <c r="P85" i="2"/>
  <c r="L85" i="2"/>
  <c r="G85" i="2"/>
  <c r="P84" i="2"/>
  <c r="G84" i="2"/>
  <c r="P83" i="2"/>
  <c r="G83" i="2"/>
  <c r="P82" i="2"/>
  <c r="G82" i="2"/>
  <c r="L81" i="2"/>
  <c r="P81" i="2" s="1"/>
  <c r="G81" i="2"/>
  <c r="P80" i="2"/>
  <c r="G80" i="2"/>
  <c r="P79" i="2"/>
  <c r="G79" i="2"/>
  <c r="P78" i="2"/>
  <c r="L78" i="2"/>
  <c r="G78" i="2"/>
  <c r="L77" i="2"/>
  <c r="P77" i="2" s="1"/>
  <c r="G77" i="2"/>
  <c r="P76" i="2"/>
  <c r="G76" i="2"/>
  <c r="P75" i="2"/>
  <c r="G75" i="2"/>
  <c r="P74" i="2"/>
  <c r="G74" i="2"/>
  <c r="P73" i="2"/>
  <c r="G73" i="2"/>
  <c r="P72" i="2"/>
  <c r="G72" i="2"/>
  <c r="P71" i="2"/>
  <c r="G71" i="2"/>
  <c r="P70" i="2"/>
  <c r="L70" i="2"/>
  <c r="G70" i="2"/>
  <c r="P69" i="2"/>
  <c r="G69" i="2"/>
  <c r="P68" i="2"/>
  <c r="G68" i="2"/>
  <c r="P67" i="2"/>
  <c r="G67" i="2"/>
  <c r="P66" i="2"/>
  <c r="G66" i="2"/>
  <c r="P65" i="2"/>
  <c r="G65" i="2"/>
  <c r="P64" i="2"/>
  <c r="G64" i="2"/>
  <c r="L63" i="2"/>
  <c r="P63" i="2" s="1"/>
  <c r="G63" i="2"/>
  <c r="P62" i="2"/>
  <c r="G62" i="2"/>
  <c r="P61" i="2"/>
  <c r="G61" i="2"/>
  <c r="P60" i="2"/>
  <c r="G60" i="2"/>
  <c r="P59" i="2"/>
  <c r="G59" i="2"/>
  <c r="P58" i="2"/>
  <c r="L58" i="2"/>
  <c r="G58" i="2"/>
  <c r="P57" i="2"/>
  <c r="G57" i="2"/>
  <c r="L56" i="2"/>
  <c r="P56" i="2" s="1"/>
  <c r="G56" i="2"/>
  <c r="P55" i="2"/>
  <c r="G55" i="2"/>
  <c r="P54" i="2"/>
  <c r="G54" i="2"/>
  <c r="P53" i="2"/>
  <c r="G53" i="2"/>
  <c r="P52" i="2"/>
  <c r="G52" i="2"/>
  <c r="P51" i="2"/>
  <c r="G51" i="2"/>
  <c r="P50" i="2"/>
  <c r="G50" i="2"/>
  <c r="P49" i="2"/>
  <c r="L49" i="2"/>
  <c r="G49" i="2"/>
  <c r="P48" i="2"/>
  <c r="G48" i="2"/>
  <c r="P47" i="2"/>
  <c r="G47" i="2"/>
  <c r="P46" i="2"/>
  <c r="G46" i="2"/>
  <c r="P45" i="2"/>
  <c r="G45" i="2"/>
  <c r="L44" i="2"/>
  <c r="P44" i="2" s="1"/>
  <c r="G44" i="2"/>
  <c r="P43" i="2"/>
  <c r="G43" i="2"/>
  <c r="P42" i="2"/>
  <c r="L42" i="2"/>
  <c r="G42" i="2"/>
  <c r="P41" i="2"/>
  <c r="G41" i="2"/>
  <c r="P40" i="2"/>
  <c r="G40" i="2"/>
  <c r="P39" i="2"/>
  <c r="G39" i="2"/>
  <c r="P38" i="2"/>
  <c r="G38" i="2"/>
  <c r="P37" i="2"/>
  <c r="G37" i="2"/>
  <c r="P36" i="2"/>
  <c r="G36" i="2"/>
  <c r="P35" i="2"/>
  <c r="G35" i="2"/>
  <c r="P34" i="2"/>
  <c r="G34" i="2"/>
  <c r="P33" i="2"/>
  <c r="G33" i="2"/>
  <c r="P32" i="2"/>
  <c r="G32" i="2"/>
  <c r="P31" i="2"/>
  <c r="G31" i="2"/>
  <c r="P30" i="2"/>
  <c r="G30" i="2"/>
  <c r="P29" i="2"/>
  <c r="G29" i="2"/>
  <c r="P28" i="2"/>
  <c r="G28" i="2"/>
  <c r="P27" i="2"/>
  <c r="G27" i="2"/>
  <c r="P26" i="2"/>
  <c r="G26" i="2"/>
  <c r="P25" i="2"/>
  <c r="G25" i="2"/>
  <c r="L24" i="2"/>
  <c r="P24" i="2" s="1"/>
  <c r="G24" i="2"/>
  <c r="P23" i="2"/>
  <c r="G23" i="2"/>
  <c r="P22" i="2"/>
  <c r="L22" i="2"/>
  <c r="G22" i="2"/>
  <c r="L21" i="2"/>
  <c r="P21" i="2" s="1"/>
  <c r="G21" i="2"/>
  <c r="P20" i="2"/>
  <c r="G20" i="2"/>
  <c r="P19" i="2"/>
  <c r="G19" i="2"/>
  <c r="P18" i="2"/>
  <c r="G18" i="2"/>
  <c r="P17" i="2"/>
  <c r="G17" i="2"/>
  <c r="P16" i="2"/>
  <c r="G16" i="2"/>
  <c r="P15" i="2"/>
  <c r="G15" i="2"/>
  <c r="P14" i="2"/>
  <c r="G14" i="2"/>
  <c r="P13" i="2"/>
  <c r="G13" i="2"/>
  <c r="P12" i="2"/>
  <c r="L12" i="2"/>
  <c r="G12" i="2"/>
  <c r="P11" i="2"/>
  <c r="G11" i="2"/>
  <c r="P10" i="2"/>
  <c r="G10" i="2"/>
  <c r="L9" i="2"/>
  <c r="P9" i="2" s="1"/>
  <c r="G9" i="2"/>
  <c r="P8" i="2"/>
  <c r="G8" i="2"/>
  <c r="P7" i="2"/>
  <c r="L7" i="2"/>
  <c r="G7" i="2"/>
  <c r="P6" i="2"/>
  <c r="G6" i="2"/>
  <c r="P5" i="2"/>
  <c r="G5" i="2"/>
  <c r="P4" i="2"/>
  <c r="G4" i="2"/>
  <c r="P3" i="2"/>
  <c r="G3" i="2"/>
  <c r="P281" i="1"/>
  <c r="P278" i="1"/>
  <c r="G278" i="1"/>
  <c r="P277" i="1"/>
  <c r="G277" i="1"/>
  <c r="P276" i="1"/>
  <c r="L276" i="1"/>
  <c r="G276" i="1"/>
  <c r="L275" i="1"/>
  <c r="P275" i="1" s="1"/>
  <c r="G275" i="1"/>
  <c r="P274" i="1"/>
  <c r="G274" i="1"/>
  <c r="P273" i="1"/>
  <c r="G273" i="1"/>
  <c r="P272" i="1"/>
  <c r="L272" i="1"/>
  <c r="G272" i="1"/>
  <c r="G271" i="1"/>
  <c r="G270" i="1"/>
  <c r="P269" i="1"/>
  <c r="G269" i="1"/>
  <c r="G268" i="1"/>
  <c r="P267" i="1"/>
  <c r="G267" i="1"/>
  <c r="P266" i="1"/>
  <c r="L266" i="1"/>
  <c r="G266" i="1"/>
  <c r="L265" i="1"/>
  <c r="P265" i="1" s="1"/>
  <c r="G265" i="1"/>
  <c r="P264" i="1"/>
  <c r="G264" i="1"/>
  <c r="P263" i="1"/>
  <c r="L263" i="1"/>
  <c r="G263" i="1"/>
  <c r="P262" i="1"/>
  <c r="G262" i="1"/>
  <c r="L261" i="1"/>
  <c r="P261" i="1" s="1"/>
  <c r="G261" i="1"/>
  <c r="P260" i="1"/>
  <c r="G260" i="1"/>
  <c r="P259" i="1"/>
  <c r="G259" i="1"/>
  <c r="P258" i="1"/>
  <c r="G258" i="1"/>
  <c r="P257" i="1"/>
  <c r="G257" i="1"/>
  <c r="P256" i="1"/>
  <c r="G256" i="1"/>
  <c r="P255" i="1"/>
  <c r="G255" i="1"/>
  <c r="G254" i="1"/>
  <c r="G253" i="1"/>
  <c r="G252" i="1"/>
  <c r="L251" i="1"/>
  <c r="P251" i="1" s="1"/>
  <c r="G251" i="1"/>
  <c r="P250" i="1"/>
  <c r="L250" i="1"/>
  <c r="G250" i="1"/>
  <c r="G249" i="1"/>
  <c r="G248" i="1"/>
  <c r="P247" i="1"/>
  <c r="G247" i="1"/>
  <c r="P246" i="1"/>
  <c r="G246" i="1"/>
  <c r="L245" i="1"/>
  <c r="G245" i="1"/>
  <c r="P244" i="1"/>
  <c r="G244" i="1"/>
  <c r="G243" i="1"/>
  <c r="P242" i="1"/>
  <c r="G242" i="1"/>
  <c r="P241" i="1"/>
  <c r="G241" i="1"/>
  <c r="P240" i="1"/>
  <c r="L240" i="1"/>
  <c r="G240" i="1"/>
  <c r="L239" i="1"/>
  <c r="P239" i="1" s="1"/>
  <c r="G239" i="1"/>
  <c r="G238" i="1"/>
  <c r="G237" i="1"/>
  <c r="G236" i="1"/>
  <c r="P235" i="1"/>
  <c r="G235" i="1"/>
  <c r="P234" i="1"/>
  <c r="G234" i="1"/>
  <c r="L233" i="1"/>
  <c r="P233" i="1" s="1"/>
  <c r="G233" i="1"/>
  <c r="P232" i="1"/>
  <c r="L232" i="1"/>
  <c r="G232" i="1"/>
  <c r="G231" i="1"/>
  <c r="G230" i="1"/>
  <c r="G229" i="1"/>
  <c r="G228" i="1"/>
  <c r="G227" i="1"/>
  <c r="P226" i="1"/>
  <c r="G226" i="1"/>
  <c r="P225" i="1"/>
  <c r="G225" i="1"/>
  <c r="G224" i="1"/>
  <c r="P223" i="1"/>
  <c r="G223" i="1"/>
  <c r="L222" i="1"/>
  <c r="P222" i="1" s="1"/>
  <c r="G222" i="1"/>
  <c r="M221" i="1"/>
  <c r="L221" i="1"/>
  <c r="P221" i="1" s="1"/>
  <c r="G221" i="1"/>
  <c r="G220" i="1"/>
  <c r="G219" i="1"/>
  <c r="P218" i="1"/>
  <c r="L218" i="1"/>
  <c r="G218" i="1"/>
  <c r="L217" i="1"/>
  <c r="P217" i="1" s="1"/>
  <c r="G217" i="1"/>
  <c r="G216" i="1"/>
  <c r="P215" i="1"/>
  <c r="G215" i="1"/>
  <c r="L214" i="1"/>
  <c r="P214" i="1" s="1"/>
  <c r="G214" i="1"/>
  <c r="P213" i="1"/>
  <c r="L213" i="1"/>
  <c r="G213" i="1"/>
  <c r="G212" i="1"/>
  <c r="P211" i="1"/>
  <c r="G211" i="1"/>
  <c r="P210" i="1"/>
  <c r="G210" i="1"/>
  <c r="P209" i="1"/>
  <c r="G209" i="1"/>
  <c r="P208" i="1"/>
  <c r="G208" i="1"/>
  <c r="P207" i="1"/>
  <c r="G207" i="1"/>
  <c r="P206" i="1"/>
  <c r="G206" i="1"/>
  <c r="P205" i="1"/>
  <c r="G205" i="1"/>
  <c r="L204" i="1"/>
  <c r="G204" i="1"/>
  <c r="P203" i="1"/>
  <c r="G203" i="1"/>
  <c r="P202" i="1"/>
  <c r="G202" i="1"/>
  <c r="P201" i="1"/>
  <c r="G201" i="1"/>
  <c r="P200" i="1"/>
  <c r="G200" i="1"/>
  <c r="G199" i="1"/>
  <c r="G198" i="1"/>
  <c r="P197" i="1"/>
  <c r="G197" i="1"/>
  <c r="P196" i="1"/>
  <c r="G196" i="1"/>
  <c r="P195" i="1"/>
  <c r="L195" i="1"/>
  <c r="G195" i="1"/>
  <c r="P194" i="1"/>
  <c r="G194" i="1"/>
  <c r="P193" i="1"/>
  <c r="G193" i="1"/>
  <c r="L192" i="1"/>
  <c r="P192" i="1" s="1"/>
  <c r="G192" i="1"/>
  <c r="P191" i="1"/>
  <c r="L191" i="1"/>
  <c r="G191" i="1"/>
  <c r="P190" i="1"/>
  <c r="G190" i="1"/>
  <c r="L189" i="1"/>
  <c r="P189" i="1" s="1"/>
  <c r="G189" i="1"/>
  <c r="L188" i="1"/>
  <c r="G188" i="1"/>
  <c r="G187" i="1"/>
  <c r="L186" i="1"/>
  <c r="P186" i="1" s="1"/>
  <c r="G186" i="1"/>
  <c r="P185" i="1"/>
  <c r="G185" i="1"/>
  <c r="G184" i="1"/>
  <c r="G183" i="1"/>
  <c r="P182" i="1"/>
  <c r="P181" i="1"/>
  <c r="G181" i="1"/>
  <c r="P180" i="1"/>
  <c r="G180" i="1"/>
  <c r="G179" i="1"/>
  <c r="G178" i="1"/>
  <c r="G177" i="1"/>
  <c r="G176" i="1"/>
  <c r="G175" i="1"/>
  <c r="P174" i="1"/>
  <c r="G174" i="1"/>
  <c r="P173" i="1"/>
  <c r="L173" i="1"/>
  <c r="G173" i="1"/>
  <c r="P172" i="1"/>
  <c r="G172" i="1"/>
  <c r="G171" i="1"/>
  <c r="P170" i="1"/>
  <c r="G170" i="1"/>
  <c r="P169" i="1"/>
  <c r="G169" i="1"/>
  <c r="P168" i="1"/>
  <c r="G168" i="1"/>
  <c r="P167" i="1"/>
  <c r="G167" i="1"/>
  <c r="G166" i="1"/>
  <c r="P165" i="1"/>
  <c r="G165" i="1"/>
  <c r="P164" i="1"/>
  <c r="G164" i="1"/>
  <c r="G163" i="1"/>
  <c r="G162" i="1"/>
  <c r="G161" i="1"/>
  <c r="G160" i="1"/>
  <c r="G159" i="1"/>
  <c r="G158" i="1"/>
  <c r="G157" i="1"/>
  <c r="G156" i="1"/>
  <c r="G155" i="1"/>
  <c r="G154" i="1"/>
  <c r="P153" i="1"/>
  <c r="G153" i="1"/>
  <c r="P152" i="1"/>
  <c r="G152" i="1"/>
  <c r="P151" i="1"/>
  <c r="G151" i="1"/>
  <c r="M150" i="1"/>
  <c r="P150" i="1" s="1"/>
  <c r="G150" i="1"/>
  <c r="P149" i="1"/>
  <c r="G149" i="1"/>
  <c r="G148" i="1"/>
  <c r="P147" i="1"/>
  <c r="P146" i="1"/>
  <c r="L146" i="1"/>
  <c r="G146" i="1"/>
  <c r="L145" i="1"/>
  <c r="P145" i="1" s="1"/>
  <c r="G145" i="1"/>
  <c r="P144" i="1"/>
  <c r="G144" i="1"/>
  <c r="P143" i="1"/>
  <c r="G143" i="1"/>
  <c r="P142" i="1"/>
  <c r="G142" i="1"/>
  <c r="P141" i="1"/>
  <c r="G141" i="1"/>
  <c r="P140" i="1"/>
  <c r="G140" i="1"/>
  <c r="P139" i="1"/>
  <c r="G139" i="1"/>
  <c r="P138" i="1"/>
  <c r="G138" i="1"/>
  <c r="P137" i="1"/>
  <c r="G137" i="1"/>
  <c r="P136" i="1"/>
  <c r="G136" i="1"/>
  <c r="G135" i="1"/>
  <c r="G134" i="1"/>
  <c r="P133" i="1"/>
  <c r="G133" i="1"/>
  <c r="P132" i="1"/>
  <c r="G132" i="1"/>
  <c r="G131" i="1"/>
  <c r="P130" i="1"/>
  <c r="G130" i="1"/>
  <c r="P129" i="1"/>
  <c r="G129" i="1"/>
  <c r="P128" i="1"/>
  <c r="G128" i="1"/>
  <c r="P127" i="1"/>
  <c r="G127" i="1"/>
  <c r="G126" i="1"/>
  <c r="P125" i="1"/>
  <c r="G125" i="1"/>
  <c r="P124" i="1"/>
  <c r="L124" i="1"/>
  <c r="G124" i="1"/>
  <c r="P123" i="1"/>
  <c r="G123" i="1"/>
  <c r="L122" i="1"/>
  <c r="P122" i="1" s="1"/>
  <c r="G122" i="1"/>
  <c r="P121" i="1"/>
  <c r="L121" i="1"/>
  <c r="G121" i="1"/>
  <c r="P120" i="1"/>
  <c r="G120" i="1"/>
  <c r="P119" i="1"/>
  <c r="G119" i="1"/>
  <c r="P118" i="1"/>
  <c r="G118" i="1"/>
  <c r="L117" i="1"/>
  <c r="P117" i="1" s="1"/>
  <c r="G117" i="1"/>
  <c r="P116" i="1"/>
  <c r="L116" i="1"/>
  <c r="G116" i="1"/>
  <c r="L115" i="1"/>
  <c r="P115" i="1" s="1"/>
  <c r="G115" i="1"/>
  <c r="P114" i="1"/>
  <c r="G114" i="1"/>
  <c r="P113" i="1"/>
  <c r="G113" i="1"/>
  <c r="P112" i="1"/>
  <c r="G112" i="1"/>
  <c r="P111" i="1"/>
  <c r="G111" i="1"/>
  <c r="P110" i="1"/>
  <c r="G110" i="1"/>
  <c r="P109" i="1"/>
  <c r="L109" i="1"/>
  <c r="G109" i="1"/>
  <c r="L107" i="1"/>
  <c r="P107" i="1" s="1"/>
  <c r="G107" i="1"/>
  <c r="P106" i="1"/>
  <c r="L106" i="1"/>
  <c r="G106" i="1"/>
  <c r="P105" i="1"/>
  <c r="G105" i="1"/>
  <c r="L104" i="1"/>
  <c r="P104" i="1" s="1"/>
  <c r="G104" i="1"/>
  <c r="P103" i="1"/>
  <c r="G103" i="1"/>
  <c r="P102" i="1"/>
  <c r="L102" i="1"/>
  <c r="G102" i="1"/>
  <c r="P101" i="1"/>
  <c r="G101" i="1"/>
  <c r="G100" i="1"/>
  <c r="P99" i="1"/>
  <c r="G99" i="1"/>
  <c r="P98" i="1"/>
  <c r="G98" i="1"/>
  <c r="P97" i="1"/>
  <c r="G97" i="1"/>
  <c r="P96" i="1"/>
  <c r="G96" i="1"/>
  <c r="P95" i="1"/>
  <c r="L95" i="1"/>
  <c r="G95" i="1"/>
  <c r="P94" i="1"/>
  <c r="G94" i="1"/>
  <c r="P93" i="1"/>
  <c r="G93" i="1"/>
  <c r="P92" i="1"/>
  <c r="G92" i="1"/>
  <c r="P91" i="1"/>
  <c r="G91" i="1"/>
  <c r="P90" i="1"/>
  <c r="G90" i="1"/>
  <c r="P89" i="1"/>
  <c r="G89" i="1"/>
  <c r="P88" i="1"/>
  <c r="G88" i="1"/>
  <c r="P87" i="1"/>
  <c r="G87" i="1"/>
  <c r="P86" i="1"/>
  <c r="G86" i="1"/>
  <c r="L85" i="1"/>
  <c r="P85" i="1" s="1"/>
  <c r="G85" i="1"/>
  <c r="P84" i="1"/>
  <c r="G84" i="1"/>
  <c r="P83" i="1"/>
  <c r="G83" i="1"/>
  <c r="P82" i="1"/>
  <c r="G82" i="1"/>
  <c r="P81" i="1"/>
  <c r="L81" i="1"/>
  <c r="G81" i="1"/>
  <c r="P80" i="1"/>
  <c r="G80" i="1"/>
  <c r="P79" i="1"/>
  <c r="G79" i="1"/>
  <c r="L78" i="1"/>
  <c r="P78" i="1" s="1"/>
  <c r="G78" i="1"/>
  <c r="P77" i="1"/>
  <c r="L77" i="1"/>
  <c r="G77" i="1"/>
  <c r="P76" i="1"/>
  <c r="G76" i="1"/>
  <c r="P75" i="1"/>
  <c r="G75" i="1"/>
  <c r="P74" i="1"/>
  <c r="G74" i="1"/>
  <c r="P73" i="1"/>
  <c r="G73" i="1"/>
  <c r="P72" i="1"/>
  <c r="G72" i="1"/>
  <c r="P71" i="1"/>
  <c r="G71" i="1"/>
  <c r="L70" i="1"/>
  <c r="P70" i="1" s="1"/>
  <c r="G70" i="1"/>
  <c r="G69" i="1"/>
  <c r="P68" i="1"/>
  <c r="G68" i="1"/>
  <c r="P67" i="1"/>
  <c r="G67" i="1"/>
  <c r="P66" i="1"/>
  <c r="G66" i="1"/>
  <c r="P65" i="1"/>
  <c r="G65" i="1"/>
  <c r="P64" i="1"/>
  <c r="G64" i="1"/>
  <c r="L63" i="1"/>
  <c r="P63" i="1" s="1"/>
  <c r="G63" i="1"/>
  <c r="P62" i="1"/>
  <c r="G62" i="1"/>
  <c r="G61" i="1"/>
  <c r="P60" i="1"/>
  <c r="G60" i="1"/>
  <c r="G59" i="1"/>
  <c r="P58" i="1"/>
  <c r="L58" i="1"/>
  <c r="G58" i="1"/>
  <c r="P57" i="1"/>
  <c r="G57" i="1"/>
  <c r="L56" i="1"/>
  <c r="P56" i="1" s="1"/>
  <c r="G56" i="1"/>
  <c r="P55" i="1"/>
  <c r="G55" i="1"/>
  <c r="P54" i="1"/>
  <c r="G54" i="1"/>
  <c r="P53" i="1"/>
  <c r="G53" i="1"/>
  <c r="G52" i="1"/>
  <c r="G51" i="1"/>
  <c r="P50" i="1"/>
  <c r="G50" i="1"/>
  <c r="P49" i="1"/>
  <c r="L49" i="1"/>
  <c r="G49" i="1"/>
  <c r="P48" i="1"/>
  <c r="G48" i="1"/>
  <c r="P47" i="1"/>
  <c r="G47" i="1"/>
  <c r="P46" i="1"/>
  <c r="G46" i="1"/>
  <c r="P45" i="1"/>
  <c r="G45" i="1"/>
  <c r="L44" i="1"/>
  <c r="P44" i="1" s="1"/>
  <c r="G44" i="1"/>
  <c r="P43" i="1"/>
  <c r="G43" i="1"/>
  <c r="P42" i="1"/>
  <c r="L42" i="1"/>
  <c r="G42" i="1"/>
  <c r="P41" i="1"/>
  <c r="G41" i="1"/>
  <c r="P40" i="1"/>
  <c r="G40" i="1"/>
  <c r="G39" i="1"/>
  <c r="G38" i="1"/>
  <c r="G37" i="1"/>
  <c r="G36" i="1"/>
  <c r="G35" i="1"/>
  <c r="P34" i="1"/>
  <c r="G34" i="1"/>
  <c r="P33" i="1"/>
  <c r="G33" i="1"/>
  <c r="G32" i="1"/>
  <c r="P31" i="1"/>
  <c r="G31" i="1"/>
  <c r="P30" i="1"/>
  <c r="G30" i="1"/>
  <c r="P29" i="1"/>
  <c r="G29" i="1"/>
  <c r="G28" i="1"/>
  <c r="P27" i="1"/>
  <c r="G27" i="1"/>
  <c r="G26" i="1"/>
  <c r="P25" i="1"/>
  <c r="G25" i="1"/>
  <c r="L24" i="1"/>
  <c r="P24" i="1" s="1"/>
  <c r="G24" i="1"/>
  <c r="P23" i="1"/>
  <c r="G23" i="1"/>
  <c r="P22" i="1"/>
  <c r="L22" i="1"/>
  <c r="G22" i="1"/>
  <c r="L21" i="1"/>
  <c r="P21" i="1" s="1"/>
  <c r="G21" i="1"/>
  <c r="G20" i="1"/>
  <c r="P19" i="1"/>
  <c r="G19" i="1"/>
  <c r="P18" i="1"/>
  <c r="G18" i="1"/>
  <c r="P17" i="1"/>
  <c r="G17" i="1"/>
  <c r="P16" i="1"/>
  <c r="G16" i="1"/>
  <c r="P15" i="1"/>
  <c r="G15" i="1"/>
  <c r="P14" i="1"/>
  <c r="G14" i="1"/>
  <c r="P13" i="1"/>
  <c r="G13" i="1"/>
  <c r="L12" i="1"/>
  <c r="P12" i="1" s="1"/>
  <c r="G12" i="1"/>
  <c r="P11" i="1"/>
  <c r="G11" i="1"/>
  <c r="P10" i="1"/>
  <c r="G10" i="1"/>
  <c r="P9" i="1"/>
  <c r="L9" i="1"/>
  <c r="G9" i="1"/>
  <c r="P8" i="1"/>
  <c r="G8" i="1"/>
  <c r="L7" i="1"/>
  <c r="P7" i="1" s="1"/>
  <c r="G7" i="1"/>
  <c r="P6" i="1"/>
  <c r="G6" i="1"/>
  <c r="P5" i="1"/>
  <c r="G5" i="1"/>
  <c r="P4" i="1"/>
  <c r="G4" i="1"/>
  <c r="P3" i="1"/>
  <c r="G3" i="1"/>
  <c r="P225" i="4" l="1"/>
</calcChain>
</file>

<file path=xl/sharedStrings.xml><?xml version="1.0" encoding="utf-8"?>
<sst xmlns="http://schemas.openxmlformats.org/spreadsheetml/2006/main" count="3635" uniqueCount="388">
  <si>
    <t xml:space="preserve">  </t>
  </si>
  <si>
    <t>заповнює бухгалтерія</t>
  </si>
  <si>
    <t xml:space="preserve">         залишки на 06.10.2025</t>
  </si>
  <si>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</si>
  <si>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</si>
  <si>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</si>
  <si>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</si>
  <si>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</si>
  <si>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</si>
  <si>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</si>
  <si>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</si>
  <si>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</si>
  <si>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надійшло</t>
  </si>
  <si>
    <t>витрач.за тиждень</t>
  </si>
  <si>
    <t>СКЛАД</t>
  </si>
  <si>
    <t>амб.№1</t>
  </si>
  <si>
    <t>амб.№2</t>
  </si>
  <si>
    <t>адмін</t>
  </si>
  <si>
    <t>Разом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</si>
  <si>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</si>
  <si>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</si>
  <si>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</si>
  <si>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</si>
  <si>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</si>
  <si>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</si>
  <si>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200 мл у фл</t>
  </si>
  <si>
    <t>100 мл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</si>
  <si>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</si>
  <si>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</si>
  <si>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</si>
  <si>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</si>
  <si>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</si>
  <si>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</si>
  <si>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</si>
  <si>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</si>
  <si>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</si>
  <si>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</si>
  <si>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</si>
  <si>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</si>
  <si>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</si>
  <si>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</si>
  <si>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</si>
  <si>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Глюкоза-Новофарм розч.для інф.,50 мг/мл</t>
  </si>
  <si>
    <t>пляшка</t>
  </si>
  <si>
    <t>пляшка 200мл</t>
  </si>
  <si>
    <t>Глюкози розчин д/інфузій 10%,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</si>
  <si>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</si>
  <si>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</si>
  <si>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</si>
  <si>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</si>
  <si>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</si>
  <si>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</si>
  <si>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</si>
  <si>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</si>
  <si>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</si>
  <si>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</si>
  <si>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</si>
  <si>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Дофамін-Дарниця, концетр.д/ розч.для інф. 40мг/мл, по 5 мл в амп</t>
  </si>
  <si>
    <t>Дофамін д/інф.р-н 4% амп.5мл ПрАТ "ФФ"Дарниця"</t>
  </si>
  <si>
    <t>ампул 10</t>
  </si>
  <si>
    <t>Дротаверин-Дарниця, роз-н д/ін., 20мг/мл</t>
  </si>
  <si>
    <t>№5</t>
  </si>
  <si>
    <t>амп (5), бліст (1)</t>
  </si>
  <si>
    <t>Еуфілін-Здоров"я, р-н д/ін. 20мг/мл, 5мл</t>
  </si>
  <si>
    <t>амп (5), бліст(2)</t>
  </si>
  <si>
    <t>Еуфілін-Дарниця, р-н д/ін. 20мг/мл, 5мл</t>
  </si>
  <si>
    <t>Каптопрес 12,5-Дарниця, табл.</t>
  </si>
  <si>
    <t>табл (10), бліст(2)</t>
  </si>
  <si>
    <t>Каптоприл табл.25мг №20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</si>
  <si>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</si>
  <si>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</si>
  <si>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</si>
  <si>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</si>
  <si>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</si>
  <si>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Кордіамін-Здоров"я, р-н для ін"єк 250мг/мл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</si>
  <si>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</si>
  <si>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</si>
  <si>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</si>
  <si>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</si>
  <si>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</si>
  <si>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</si>
  <si>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</si>
  <si>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</si>
  <si>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</si>
  <si>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</si>
  <si>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Мукалтин, табл. по 50мг №30</t>
  </si>
  <si>
    <t>30 табл.у контейнері</t>
  </si>
  <si>
    <t>Натрію хлорид розч.для ін. 9 мг/мл по 5мл</t>
  </si>
  <si>
    <t>Натрію хлорид-Д р-н д/ін. 9 мг/мл по 5мл</t>
  </si>
  <si>
    <t>Натрію хлорид розч.для інфузій 9 мг/мл</t>
  </si>
  <si>
    <t>флакон 200 мл</t>
  </si>
  <si>
    <t>Натрію хлорид розчин 0,9%, для інфузій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</si>
  <si>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</si>
  <si>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</si>
  <si>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</si>
  <si>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</si>
  <si>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</si>
  <si>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 водню, р-н 3%</t>
  </si>
  <si>
    <t>флакон 100 мл</t>
  </si>
  <si>
    <t>Реополіглюкін р-н для інф.200мл</t>
  </si>
  <si>
    <t>Сальбутамол-НЕО, інгаляція під тиском 100 мкг/доза по 12 мл/200 доз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</si>
  <si>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</si>
  <si>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</si>
  <si>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</si>
  <si>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</si>
  <si>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</si>
  <si>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</si>
  <si>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</si>
  <si>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</si>
  <si>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</si>
  <si>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</si>
  <si>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</si>
  <si>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</si>
  <si>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</si>
  <si>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</si>
  <si>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</si>
  <si>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</si>
  <si>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</si>
  <si>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</si>
  <si>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</si>
  <si>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</si>
  <si>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</si>
  <si>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</si>
  <si>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</si>
  <si>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25тест-кас.в 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</si>
  <si>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</si>
  <si>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</si>
  <si>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</si>
  <si>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5 тест-касет в пак.</t>
  </si>
  <si>
    <t>Швидкий тест на ВІЛ 1/2 (цільна кров/сироватка/плазма) (ІНІ-402)</t>
  </si>
  <si>
    <t>40тест-касет в уп</t>
  </si>
  <si>
    <t>Тест-смужки для аналізу сечі КЕТ №50</t>
  </si>
  <si>
    <t>Швидкий тест на вагітність (FHC-101)</t>
  </si>
  <si>
    <t>Швидкий тест на рак передміхурової залози ПСА напівкількісний</t>
  </si>
  <si>
    <t>10 тест-касет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</si>
  <si>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</si>
  <si>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</si>
  <si>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Канюля в/в G22 (0,8х25) Venfion/Бектон Дикинсон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</si>
  <si>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</si>
  <si>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</si>
  <si>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</si>
  <si>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</si>
  <si>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</si>
  <si>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</si>
  <si>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</si>
  <si>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</si>
  <si>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</si>
  <si>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Ланцет(скарифікатор) "ВОЛЕС" для крові стальний  однораз.стерильний</t>
  </si>
  <si>
    <t>200 шт в уп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</si>
  <si>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</si>
  <si>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</si>
  <si>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</si>
  <si>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</si>
  <si>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Серветка спиртова №100</t>
  </si>
  <si>
    <t>Серветки "Волес" просочені 70% спиртовим розчином</t>
  </si>
  <si>
    <t>Серветки "Волес" просочені спиртовим розчином</t>
  </si>
  <si>
    <t>Рукавички огл.нітрил.текст.без пудри н/с Safe Touch Vitals SlimBlue L (500 пар/ящ)</t>
  </si>
  <si>
    <t>пар</t>
  </si>
  <si>
    <t>Рукавички оглядові / процедурні нітрилові, неопудрені, нестерильні 200 шт / уп. Малайзія Medium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</si>
  <si>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</si>
  <si>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</si>
  <si>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</si>
  <si>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</si>
  <si>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отоларинг.дерев"яний "Волес"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</si>
  <si>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</si>
  <si>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</si>
  <si>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</si>
  <si>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</si>
  <si>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</si>
  <si>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</si>
  <si>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</si>
  <si>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</si>
  <si>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</si>
  <si>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</si>
  <si>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>Пробірка вакуумна для забору крові, 6 мл, з К2 ЕДТА, 13х100мм, стер., з бузк. криш</t>
  </si>
  <si>
    <t xml:space="preserve">мікропробірка "ВОЛЕС" тип Еппендорф 2 мл </t>
  </si>
  <si>
    <t>Мультикалібратор Seral (18=6*3)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</si>
  <si>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</si>
  <si>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</si>
  <si>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</si>
  <si>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</si>
  <si>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Розчин для промивання, 1л</t>
  </si>
  <si>
    <t>Розчин ізотонічний 20л</t>
  </si>
  <si>
    <t>Концентрований розчин для промивання 50 мл</t>
  </si>
  <si>
    <t>Розчин для очистки 5 мл</t>
  </si>
  <si>
    <t>Кінцевик жовтий 0,5-200мкл</t>
  </si>
  <si>
    <t>1000 шт в уп</t>
  </si>
  <si>
    <t>Кінцевик жовтий  1-кан 0,5-200мкл</t>
  </si>
  <si>
    <t>Наконечник універсал.синій 100-1000мкл</t>
  </si>
  <si>
    <t>500 шт в уп</t>
  </si>
  <si>
    <t>Наконечник універсал./гілсон сині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</si>
  <si>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</si>
  <si>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</si>
  <si>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</si>
  <si>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</si>
  <si>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</si>
  <si>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</si>
  <si>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>Засіб дез."Бланідас 300" в табл.(300 шт)</t>
  </si>
  <si>
    <t>Госпісепт гранули 1 кг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</si>
  <si>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</si>
  <si>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</si>
  <si>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</si>
  <si>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</si>
  <si>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доз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</si>
  <si>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Y013087</t>
  </si>
  <si>
    <t>Тривалентна інактивована вірусна вакцина проти поліомієліту, серія 2324010В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</si>
  <si>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</si>
  <si>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</si>
  <si>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</si>
  <si>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Пероральна поліомієлітна вакцина / Bivalent Type 1 Oral Poliomyelitis Vaccine (BOPV), vial 10  doses Live, серія 1894О037</t>
  </si>
  <si>
    <t>Вакцина проти туберкульозу (БЦЖ)/ S359114 BCG VACCINE Freeze-dried, intradermail 0,5 mg for 1,0 ml diluents Vial of 20 doses, серія 0374МА093</t>
  </si>
  <si>
    <t>фл/доз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</si>
  <si>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</si>
  <si>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</si>
  <si>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від COVID-19/ COMIRNATY 0,1mg/ml 10x2,25ml GVL PFE EU, серія LJ9412</t>
  </si>
  <si>
    <t>Вакцина COMIRNATY від COVID-19 (від 5 до 11 років)/COMIRNATY 0,033 mg/ml 10x2,25ml GVL PFE EU, серія LP4330</t>
  </si>
  <si>
    <t>Вакцина COMIRNATY від COVID-19 (від 6 місяців до 4 років)/COMIRNATY 0,1 mg/ml 10x0,4ml GVL PFE EU, серія МЕ0453</t>
  </si>
  <si>
    <t>Розчинник до вакцини COMIRNATY від COVID-19/ Sod Chl Inj USP 0,9% 10 ml SSOL, серія MG6493</t>
  </si>
  <si>
    <t>Шприц 2 мл 2-х компонентний інʾєкційний, ПАТ "Гемопласт"</t>
  </si>
  <si>
    <t>Шприци ін"єкційні стерильні/ ADS03MLK1 Oneject Auto Disable Syringe 0,3ml 23Gx1" cep. 210b02</t>
  </si>
  <si>
    <t>Шприци з голками (різного обсягу)/ Шприц /SELINGE 0,2 ML 23Gx1", серія  4621J61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</si>
  <si>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</si>
  <si>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</si>
  <si>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</si>
  <si>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</si>
  <si>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Захисні ящики для утилізації використаних гострих предметів та матеріалів / Коробка для безпечної утилізації використаних шприців 5 л</t>
  </si>
  <si>
    <t>Контейнер для зберігання медичних відходів 120л</t>
  </si>
  <si>
    <t>Спирт етиловий 96%, розчин по 100мл</t>
  </si>
  <si>
    <t>Швидка відповідь Експрес-тест ВІЛ 1-2.0 (Версія 2,0) Kit №5/ набір</t>
  </si>
  <si>
    <t>Експрес-тест для виявлення антитіл до ВІЛ 1/2 3 лінії STANDARDTM K"ю, серія 5356133 АС/1</t>
  </si>
  <si>
    <t>наб</t>
  </si>
  <si>
    <t>№25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</si>
  <si>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</si>
  <si>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</si>
  <si>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</si>
  <si>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Bioline HCV експрес-тест для виявлення антитіл довірусу гепатиту С, 25 тестів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</si>
  <si>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</si>
  <si>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</si>
  <si>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</si>
  <si>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ACLOR SUSP FL/100 ML</t>
  </si>
  <si>
    <t>AMTOR CPR B30</t>
  </si>
  <si>
    <t>№30</t>
  </si>
  <si>
    <t>Азитроміцин, 200 мг/5мл, р-н для оральн.</t>
  </si>
  <si>
    <t>Азитроміцин, 250 мг, табл.</t>
  </si>
  <si>
    <t>№6</t>
  </si>
  <si>
    <t xml:space="preserve">Альбендазол, табл. 400 мг. </t>
  </si>
  <si>
    <t>№60</t>
  </si>
  <si>
    <t>Альбендазол, табл. 400 мг. №100</t>
  </si>
  <si>
    <t>№100</t>
  </si>
  <si>
    <t>Амлодипін, табл. 5 мг</t>
  </si>
  <si>
    <t xml:space="preserve">Амоксицилін табл/капс 500 мг </t>
  </si>
  <si>
    <t>№1000</t>
  </si>
  <si>
    <t>Амоксицилін / клавуланова к-та, 500/125мг, табл</t>
  </si>
  <si>
    <t>Амоксицилін 250 мг, капс.</t>
  </si>
  <si>
    <t>Амоксицилін 125 мг/ 5 мл порошок для суспензії, флакон 100 мл</t>
  </si>
  <si>
    <t>Ацикловір, 400 мг, табл.</t>
  </si>
  <si>
    <t>Беклометазон (Беклоджет) 250 мкг/доза</t>
  </si>
  <si>
    <t>Бісопролол 5 мг табл. БП, блістер</t>
  </si>
  <si>
    <t>Валсартан 40 мг табл. вкр.плів.оболонк.</t>
  </si>
  <si>
    <t>№28</t>
  </si>
  <si>
    <t>Валсартан 320 мг табл. вкр.плів.оболонк.</t>
  </si>
  <si>
    <t>№98</t>
  </si>
  <si>
    <t>Вітамін D+біотин+алтея+мед- Zarbeil Сироп імунітету для дітей -Суміш</t>
  </si>
  <si>
    <t>120 мл</t>
  </si>
  <si>
    <t>Вітамін D+біотин+ехінацея+мед- Zarbeil Сироп імунітету для дорослих -Суміш</t>
  </si>
  <si>
    <t>Гідрокортизон, 1%, мазь, 15 г</t>
  </si>
  <si>
    <t>туба</t>
  </si>
  <si>
    <t>Гідрокортизону ацетат, 1%, мазь, 15 г</t>
  </si>
  <si>
    <t>Гіосцину бутилбромід 20 мг/мл</t>
  </si>
  <si>
    <t>Глібенкламід Даоніл, 5 мг</t>
  </si>
  <si>
    <t>Глемонт таблетки жувальні по 4 мг</t>
  </si>
  <si>
    <t>Глемонт, таблетки вкриті плівковою оболонкою, по 10 мг</t>
  </si>
  <si>
    <t>Гліцерин+плющ+мед Zarbeil сироп для дорослих та дітей від 12 років - кашель, біль у горлі. Суміш</t>
  </si>
  <si>
    <t>150мл</t>
  </si>
  <si>
    <t>Гліцерин+плющ+мед Zarbeil сироп для дорослих та дітей від 2 років - кашель, біль у горлі. Суміш</t>
  </si>
  <si>
    <t>150 мл</t>
  </si>
  <si>
    <t>Dymol 50 mg 10 tabec</t>
  </si>
  <si>
    <t>DEFAL GOUTTES FL /13ML</t>
  </si>
  <si>
    <t>13 мл</t>
  </si>
  <si>
    <t>Дезлоратадин 5 мг, табл.</t>
  </si>
  <si>
    <t>Диклофенак, табл. 25 мг</t>
  </si>
  <si>
    <t>Диклофенак 1% гель, 20 г</t>
  </si>
  <si>
    <t>ENERGY DRINK RIPHARMA TAURINE CP B/20</t>
  </si>
  <si>
    <t>Еналаприл, 20 мг, табл</t>
  </si>
  <si>
    <t>Еналаприл, 10 мг, табл.</t>
  </si>
  <si>
    <t>IPNEB SOL INHALATION FL/20ML</t>
  </si>
  <si>
    <t>20 мл</t>
  </si>
  <si>
    <t>Ібупрофен 100 мг/5мл перор.сусп. 100 мл</t>
  </si>
  <si>
    <t>Ібупрофен 200 мг, в табл.</t>
  </si>
  <si>
    <t>Ібупрофен в таблетках, 400 мг</t>
  </si>
  <si>
    <t>Ізосорбіт 10 мг, табл.</t>
  </si>
  <si>
    <t>GLIMICRON 80MG CP B/100</t>
  </si>
  <si>
    <t>Каламін, 15% лосьйон, 100 мл</t>
  </si>
  <si>
    <t>Калій (у вигляді хлориду) 600 мг, табл.</t>
  </si>
  <si>
    <t>Калія (хлорид), 600 мг + калія (бікарбонат), 400 мг, шипучі табл.</t>
  </si>
  <si>
    <t>Кандесартан 4 мг, таблетки</t>
  </si>
  <si>
    <t>Кандесартан 8 мг, таблетки</t>
  </si>
  <si>
    <t>Кандесартан 16 мг, таблетки</t>
  </si>
  <si>
    <t>Кандесартан 32 мг, таблетки</t>
  </si>
  <si>
    <t>Кислота ацетилсаліцилова, 100 мг, табл</t>
  </si>
  <si>
    <t>Клопідрогель, 75 мг, табл.</t>
  </si>
  <si>
    <t>Лансопразол (Огаст) 30 мг - капсула гастрорезистентна</t>
  </si>
  <si>
    <t>Левотироксин, 0,1мг, табл.</t>
  </si>
  <si>
    <t>Лізиноприл 10 мг+гідрохлоротіазид 12,5мг</t>
  </si>
  <si>
    <t>Лізиноприл 20 мг+гідрохлоротіазид 12,5мг</t>
  </si>
  <si>
    <t>Мемантин 20 мг табл.вкр.плів.обол.</t>
  </si>
  <si>
    <t>№42</t>
  </si>
  <si>
    <t>Метоклопрамід НСІ 10 мг, табл.</t>
  </si>
  <si>
    <t>Метформін, 500 мг, табл</t>
  </si>
  <si>
    <t>Міконазолу нітрат, 2% крем, 30г</t>
  </si>
  <si>
    <t xml:space="preserve">Міконазол (у вигляді нітрату) 20 мг/г крему, 30г, туба ВР </t>
  </si>
  <si>
    <t>Монтелукаст 4 мг жувальні табл.</t>
  </si>
  <si>
    <t>Омепразол, 20 мг, капс.</t>
  </si>
  <si>
    <t>Парацетамол 500 мг, табл</t>
  </si>
  <si>
    <t>Парацетамол+аскорб.к-та+фенірамін- RHINOFEBRAL, без цукру, порошок для розчинення для прийому саше</t>
  </si>
  <si>
    <t>№8</t>
  </si>
  <si>
    <t>REVOBAN 10MG CP B/10</t>
  </si>
  <si>
    <t>Ситагліптин 50 мг+метформін 850 мг табл.</t>
  </si>
  <si>
    <t>№56</t>
  </si>
  <si>
    <t>Спіронолактон, 25 мг, табл.</t>
  </si>
  <si>
    <t>Сульфадіазин сріблого, 1% крем, 50г</t>
  </si>
  <si>
    <t>VASTOR-AM 10MG/10MG CP B/30</t>
  </si>
  <si>
    <t>YENDOL N SACHETS B/10</t>
  </si>
  <si>
    <t>Таблетки лізиноприлу 10 мг</t>
  </si>
  <si>
    <t>Транексамінова кислота, 100 мг/мл, 5мл,амп</t>
  </si>
  <si>
    <t>Флюконазол 50мг №7</t>
  </si>
  <si>
    <t>капс</t>
  </si>
  <si>
    <t>Фосфат ситагліптину моногідратований  (Янувія) 100 мг, 50піг</t>
  </si>
  <si>
    <t>Фосфат ситагліптину моногідратований  (Янувія) 50 мг, 30піг</t>
  </si>
  <si>
    <t>Фосфат ситагліптину моногідратований  (Кселевія) 50 мг, 30піг</t>
  </si>
  <si>
    <t>Цефіксим, табл. по 200мг</t>
  </si>
  <si>
    <t xml:space="preserve">Zinkorot 25 tabl,, 25 mg, №100 </t>
  </si>
  <si>
    <t>Ципрофлоксацин, табл. по 500 мг</t>
  </si>
  <si>
    <t>Самостійний тест на ВІЛ OraQuick HIV Self Test</t>
  </si>
  <si>
    <t xml:space="preserve">Бахіли </t>
  </si>
  <si>
    <t>50 шт /уп</t>
  </si>
  <si>
    <t>без т.п.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</si>
  <si>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</si>
  <si>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</si>
  <si>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Мікропробірка тип Eppendorf ПП з град.</t>
  </si>
  <si>
    <t>Катетер вн.вен.з інʾєкц.портом та крильцям</t>
  </si>
  <si>
    <t>Тампон-зонд EximLabR, без пробірки, віскоза, пластик, 150 мм</t>
  </si>
  <si>
    <t xml:space="preserve">Шапочка медична </t>
  </si>
  <si>
    <t>ши</t>
  </si>
  <si>
    <t>Халат медичний одноразовий</t>
  </si>
  <si>
    <t>терм.не обмеж</t>
  </si>
  <si>
    <t>Контейнер для медичних відходів 1л</t>
  </si>
  <si>
    <t>Стрічка діаграмна 80*30 (12)зовн</t>
  </si>
  <si>
    <t>Пакет для таблеток мінігрип+піктограма 0,038мм, 6х8 см</t>
  </si>
  <si>
    <t>№500</t>
  </si>
  <si>
    <t>Фартух,125х80 см, білий, тиснення поліетилен 0,02 мм</t>
  </si>
  <si>
    <t>Гель для дезінфекції рук 500 мл з дезатором - насосом</t>
  </si>
  <si>
    <t xml:space="preserve">         залишки на 13.10.2025</t>
  </si>
  <si>
    <t xml:space="preserve">         залишки на 20.10.2025</t>
  </si>
  <si>
    <t>Adapalene 0,3%</t>
  </si>
  <si>
    <t>Benzonatate 100 mg</t>
  </si>
  <si>
    <t>Epinephrine 0,15 mg/0,15 ml</t>
  </si>
  <si>
    <t>Ibuprofen, 50 mg/1,25ml</t>
  </si>
  <si>
    <t>Nizatidine 30mg</t>
  </si>
  <si>
    <t>Nystatin 100000u/g NISTATIN, 60 g Powder</t>
  </si>
  <si>
    <t>Sucralfate 1g</t>
  </si>
  <si>
    <t>Potassium Chloride 600 mg</t>
  </si>
  <si>
    <t>Prednisone 10 mg</t>
  </si>
  <si>
    <t>Rizatriptan Benzoate 5 mg</t>
  </si>
  <si>
    <t>Celecoxib 50 mg</t>
  </si>
  <si>
    <t xml:space="preserve">         залишки на 27.10.2025</t>
  </si>
  <si>
    <t>Розчин для очистки 50 мл</t>
  </si>
  <si>
    <t>Халат медичний одноразовий н/с</t>
  </si>
  <si>
    <t>Простирадло (пелюшка) однораз.35см*38см</t>
  </si>
  <si>
    <t>Шапочка медична одноразова н/с</t>
  </si>
  <si>
    <t>Тест на вагітність "RST-HCG" (One Step HCG Urine Test)</t>
  </si>
  <si>
    <t>Амоксицилін+клавуланова к-та, 125+31,25/5мл, порошок, 60 мл</t>
  </si>
  <si>
    <t>№1</t>
  </si>
  <si>
    <t>Бензилбензоат, 25% лосьйон, 1 л</t>
  </si>
  <si>
    <t>1л</t>
  </si>
  <si>
    <t>Ібупрофен 100 мг/5мл перор.сусп. 200 мл</t>
  </si>
  <si>
    <t>Серветки спиртові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</si>
  <si>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</si>
  <si>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</si>
  <si>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03.11.2025р</t>
  </si>
  <si>
    <t xml:space="preserve">Дофамін-Дарниця, концетр.д/ розч.д/інф. 40мг/мл, по 5мл </t>
  </si>
  <si>
    <t>10 тест-касет/уп</t>
  </si>
  <si>
    <t>Амоксицилін 125 мг/ 5 мл порошок для суспензії, фл 100мл</t>
  </si>
  <si>
    <t>Гідроксид алюмінію 250мг+трисилікат магнію 500 мг, табл</t>
  </si>
  <si>
    <t>Фосфат ситагліптину моногідратований  (Янувія) 50 мг,</t>
  </si>
  <si>
    <t>Феруму фумарат 185 мг (60мг ір)+фолієва к-та 0,4мг, табл.</t>
  </si>
  <si>
    <t>5 тест-касет/пак.</t>
  </si>
  <si>
    <t>40тест-касет/уп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</si>
</sst>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yyyy\-mm"/>
    <numFmt numFmtId="166" formatCode="yyyy\-m"/>
    <numFmt numFmtId="167" formatCode="0.000"/>
  </numFmts>
  <fonts count="33">
    <font>
      <sz val="10"/>
      <color rgb="FF000000"/>
      <name val="Arial"/>
      <scheme val="minor"/>
    </font>
    <font>
      <sz val="10"/>
      <color theme="1"/>
      <name val="&quot;Times New Roman&quot;"/>
    </font>
    <font>
      <sz val="10"/>
      <color rgb="FF000000"/>
      <name val="&quot;Times New Roman&quot;"/>
    </font>
    <font>
      <sz val="14"/>
      <color theme="1"/>
      <name val="&quot;Times New Roman&quot;"/>
    </font>
    <font>
      <sz val="11"/>
      <color theme="1"/>
      <name val="&quot;Times New Roman&quot;"/>
    </font>
    <font>
      <sz val="10"/>
      <color rgb="FFFF0000"/>
      <name val="&quot;Times New Roman&quot;"/>
    </font>
    <font>
      <sz val="10"/>
      <color theme="1"/>
      <name val="&quot;Times New Roman&quot;"/>
    </font>
    <font>
      <sz val="12"/>
      <color theme="1"/>
      <name val="&quot;Times New Roman&quot;"/>
    </font>
    <font>
      <sz val="9"/>
      <color rgb="FF000000"/>
      <name val="&quot;Times New Roman&quot;"/>
    </font>
    <font>
      <sz val="9"/>
      <color theme="1"/>
      <name val="&quot;Times New Roman&quot;"/>
    </font>
    <font>
      <sz val="10"/>
      <color theme="1"/>
      <name val="Arial"/>
    </font>
    <font>
      <sz val="10"/>
      <color theme="1"/>
      <name val="&quot;Arial Cyr&quot;"/>
    </font>
    <font>
      <sz val="11"/>
      <color rgb="FF000000"/>
      <name val="&quot;Times New Roman&quot;"/>
    </font>
    <font>
      <sz val="9"/>
      <color theme="1"/>
      <name val="Arial"/>
    </font>
    <font>
      <b/>
      <sz val="12"/>
      <color theme="1"/>
      <name val="&quot;Times New Roman&quot;"/>
    </font>
    <font>
      <sz val="10"/>
      <name val="Arial"/>
    </font>
    <font>
      <sz val="10"/>
      <color rgb="FF000000"/>
      <name val="Times New Roman"/>
    </font>
    <font>
      <sz val="10"/>
      <color theme="1"/>
      <name val="Arial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</font>
    <font>
      <sz val="10"/>
      <color rgb="FF000000"/>
      <name val="&quot;Times New Roman&quot;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00FF00"/>
        <bgColor rgb="FF00FF00"/>
      </patternFill>
    </fill>
    <fill>
      <patternFill patternType="solid">
        <fgColor rgb="FFB7E1CD"/>
        <bgColor rgb="FFB7E1CD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D9EAD3"/>
        <bgColor rgb="FFD9EAD3"/>
      </patternFill>
    </fill>
    <fill>
      <patternFill patternType="solid">
        <fgColor rgb="FFEBF1DE"/>
        <bgColor rgb="FFEBF1DE"/>
      </patternFill>
    </fill>
    <fill>
      <patternFill patternType="solid">
        <fgColor theme="9"/>
        <bgColor theme="9"/>
      </patternFill>
    </fill>
    <fill>
      <patternFill patternType="solid">
        <fgColor theme="5"/>
        <bgColor theme="5"/>
      </patternFill>
    </fill>
    <fill>
      <patternFill patternType="solid">
        <fgColor rgb="FF9FC5E8"/>
        <bgColor rgb="FF9FC5E8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4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164" fontId="1" fillId="2" borderId="0" xfId="0" applyNumberFormat="1" applyFont="1" applyFill="1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1" fillId="0" borderId="1" xfId="0" applyFont="1" applyBorder="1" applyAlignment="1"/>
    <xf numFmtId="0" fontId="4" fillId="0" borderId="2" xfId="0" applyFont="1" applyBorder="1" applyAlignment="1">
      <alignment wrapText="1"/>
    </xf>
    <xf numFmtId="0" fontId="1" fillId="0" borderId="2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3" borderId="2" xfId="0" applyFont="1" applyFill="1" applyBorder="1" applyAlignment="1"/>
    <xf numFmtId="0" fontId="1" fillId="4" borderId="0" xfId="0" applyFont="1" applyFill="1" applyAlignment="1"/>
    <xf numFmtId="0" fontId="5" fillId="0" borderId="0" xfId="0" applyFont="1" applyAlignment="1">
      <alignment wrapText="1"/>
    </xf>
    <xf numFmtId="0" fontId="6" fillId="5" borderId="0" xfId="0" applyFont="1" applyFill="1" applyAlignment="1"/>
    <xf numFmtId="0" fontId="7" fillId="6" borderId="0" xfId="0" applyFont="1" applyFill="1" applyAlignment="1"/>
    <xf numFmtId="0" fontId="7" fillId="7" borderId="0" xfId="0" applyFont="1" applyFill="1" applyAlignment="1"/>
    <xf numFmtId="0" fontId="7" fillId="8" borderId="0" xfId="0" applyFont="1" applyFill="1" applyAlignment="1"/>
    <xf numFmtId="0" fontId="7" fillId="9" borderId="0" xfId="0" applyFont="1" applyFill="1" applyAlignment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2" fontId="11" fillId="0" borderId="4" xfId="0" applyNumberFormat="1" applyFont="1" applyBorder="1" applyAlignment="1">
      <alignment horizontal="right"/>
    </xf>
    <xf numFmtId="0" fontId="10" fillId="3" borderId="4" xfId="0" applyFont="1" applyFill="1" applyBorder="1" applyAlignment="1">
      <alignment horizontal="right"/>
    </xf>
    <xf numFmtId="0" fontId="10" fillId="4" borderId="0" xfId="0" applyFont="1" applyFill="1" applyAlignment="1">
      <alignment horizontal="right"/>
    </xf>
    <xf numFmtId="0" fontId="11" fillId="0" borderId="0" xfId="0" applyFont="1" applyAlignment="1"/>
    <xf numFmtId="0" fontId="10" fillId="0" borderId="0" xfId="0" applyFont="1" applyAlignment="1"/>
    <xf numFmtId="0" fontId="10" fillId="5" borderId="0" xfId="0" applyFont="1" applyFill="1" applyAlignment="1">
      <alignment horizontal="right"/>
    </xf>
    <xf numFmtId="0" fontId="10" fillId="6" borderId="0" xfId="0" applyFont="1" applyFill="1" applyAlignment="1">
      <alignment horizontal="right"/>
    </xf>
    <xf numFmtId="0" fontId="10" fillId="7" borderId="0" xfId="0" applyFont="1" applyFill="1" applyAlignment="1">
      <alignment horizontal="right"/>
    </xf>
    <xf numFmtId="0" fontId="11" fillId="8" borderId="0" xfId="0" applyFont="1" applyFill="1" applyAlignment="1"/>
    <xf numFmtId="0" fontId="11" fillId="9" borderId="0" xfId="0" applyFont="1" applyFill="1" applyAlignment="1">
      <alignment horizontal="right"/>
    </xf>
    <xf numFmtId="0" fontId="4" fillId="10" borderId="3" xfId="0" applyFont="1" applyFill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10" fillId="6" borderId="0" xfId="0" applyFont="1" applyFill="1" applyAlignment="1"/>
    <xf numFmtId="0" fontId="10" fillId="7" borderId="0" xfId="0" applyFont="1" applyFill="1" applyAlignment="1"/>
    <xf numFmtId="166" fontId="9" fillId="0" borderId="4" xfId="0" applyNumberFormat="1" applyFont="1" applyBorder="1" applyAlignment="1">
      <alignment horizontal="center"/>
    </xf>
    <xf numFmtId="0" fontId="10" fillId="5" borderId="0" xfId="0" applyFont="1" applyFill="1" applyAlignment="1"/>
    <xf numFmtId="2" fontId="10" fillId="0" borderId="4" xfId="0" applyNumberFormat="1" applyFont="1" applyBorder="1" applyAlignment="1">
      <alignment horizontal="right"/>
    </xf>
    <xf numFmtId="0" fontId="11" fillId="2" borderId="0" xfId="0" applyFont="1" applyFill="1" applyAlignment="1"/>
    <xf numFmtId="0" fontId="11" fillId="0" borderId="4" xfId="0" applyFont="1" applyBorder="1" applyAlignment="1">
      <alignment horizontal="right"/>
    </xf>
    <xf numFmtId="0" fontId="4" fillId="11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wrapText="1"/>
    </xf>
    <xf numFmtId="0" fontId="8" fillId="0" borderId="4" xfId="0" applyFont="1" applyBorder="1" applyAlignment="1">
      <alignment horizontal="left"/>
    </xf>
    <xf numFmtId="0" fontId="4" fillId="11" borderId="5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11" fillId="5" borderId="0" xfId="0" applyFont="1" applyFill="1" applyAlignment="1"/>
    <xf numFmtId="0" fontId="10" fillId="4" borderId="0" xfId="0" applyFont="1" applyFill="1" applyAlignment="1"/>
    <xf numFmtId="0" fontId="10" fillId="0" borderId="0" xfId="0" applyFont="1" applyAlignment="1">
      <alignment horizontal="right"/>
    </xf>
    <xf numFmtId="167" fontId="10" fillId="0" borderId="4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7" borderId="0" xfId="0" applyFont="1" applyFill="1" applyAlignment="1"/>
    <xf numFmtId="0" fontId="11" fillId="7" borderId="0" xfId="0" applyFont="1" applyFill="1" applyAlignment="1">
      <alignment horizontal="right"/>
    </xf>
    <xf numFmtId="0" fontId="12" fillId="0" borderId="5" xfId="0" applyFont="1" applyBorder="1" applyAlignment="1">
      <alignment horizontal="left" wrapText="1"/>
    </xf>
    <xf numFmtId="0" fontId="9" fillId="0" borderId="4" xfId="0" applyFont="1" applyBorder="1" applyAlignment="1">
      <alignment horizontal="center" wrapText="1"/>
    </xf>
    <xf numFmtId="0" fontId="10" fillId="2" borderId="4" xfId="0" applyFont="1" applyFill="1" applyBorder="1" applyAlignment="1">
      <alignment horizontal="right"/>
    </xf>
    <xf numFmtId="0" fontId="10" fillId="2" borderId="0" xfId="0" applyFont="1" applyFill="1" applyAlignment="1"/>
    <xf numFmtId="0" fontId="10" fillId="8" borderId="0" xfId="0" applyFont="1" applyFill="1" applyAlignment="1"/>
    <xf numFmtId="165" fontId="9" fillId="0" borderId="4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/>
    <xf numFmtId="165" fontId="9" fillId="2" borderId="1" xfId="0" applyNumberFormat="1" applyFont="1" applyFill="1" applyBorder="1" applyAlignment="1">
      <alignment horizontal="center"/>
    </xf>
    <xf numFmtId="0" fontId="13" fillId="2" borderId="0" xfId="0" applyFont="1" applyFill="1" applyAlignment="1"/>
    <xf numFmtId="0" fontId="12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wrapText="1"/>
    </xf>
    <xf numFmtId="2" fontId="10" fillId="2" borderId="4" xfId="0" applyNumberFormat="1" applyFont="1" applyFill="1" applyBorder="1" applyAlignment="1">
      <alignment horizontal="right"/>
    </xf>
    <xf numFmtId="0" fontId="12" fillId="12" borderId="4" xfId="0" applyFont="1" applyFill="1" applyBorder="1" applyAlignment="1">
      <alignment horizontal="left" wrapText="1"/>
    </xf>
    <xf numFmtId="0" fontId="9" fillId="12" borderId="4" xfId="0" applyFont="1" applyFill="1" applyBorder="1" applyAlignment="1"/>
    <xf numFmtId="0" fontId="9" fillId="12" borderId="4" xfId="0" applyFont="1" applyFill="1" applyBorder="1" applyAlignment="1">
      <alignment horizontal="center" wrapText="1"/>
    </xf>
    <xf numFmtId="165" fontId="9" fillId="12" borderId="4" xfId="0" applyNumberFormat="1" applyFont="1" applyFill="1" applyBorder="1" applyAlignment="1">
      <alignment horizontal="center"/>
    </xf>
    <xf numFmtId="2" fontId="10" fillId="12" borderId="4" xfId="0" applyNumberFormat="1" applyFont="1" applyFill="1" applyBorder="1" applyAlignment="1">
      <alignment horizontal="right"/>
    </xf>
    <xf numFmtId="2" fontId="11" fillId="12" borderId="4" xfId="0" applyNumberFormat="1" applyFont="1" applyFill="1" applyBorder="1" applyAlignment="1">
      <alignment horizontal="right"/>
    </xf>
    <xf numFmtId="0" fontId="10" fillId="12" borderId="4" xfId="0" applyFont="1" applyFill="1" applyBorder="1" applyAlignment="1">
      <alignment horizontal="right"/>
    </xf>
    <xf numFmtId="0" fontId="13" fillId="12" borderId="0" xfId="0" applyFont="1" applyFill="1" applyAlignment="1"/>
    <xf numFmtId="0" fontId="12" fillId="0" borderId="1" xfId="0" applyFont="1" applyBorder="1" applyAlignment="1">
      <alignment horizontal="left"/>
    </xf>
    <xf numFmtId="0" fontId="9" fillId="12" borderId="4" xfId="0" applyFont="1" applyFill="1" applyBorder="1" applyAlignment="1">
      <alignment horizontal="center"/>
    </xf>
    <xf numFmtId="0" fontId="10" fillId="12" borderId="0" xfId="0" applyFont="1" applyFill="1" applyAlignment="1"/>
    <xf numFmtId="166" fontId="9" fillId="12" borderId="4" xfId="0" applyNumberFormat="1" applyFont="1" applyFill="1" applyBorder="1" applyAlignment="1">
      <alignment horizontal="center"/>
    </xf>
    <xf numFmtId="0" fontId="9" fillId="12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left" wrapText="1"/>
    </xf>
    <xf numFmtId="0" fontId="11" fillId="12" borderId="4" xfId="0" applyFont="1" applyFill="1" applyBorder="1" applyAlignment="1">
      <alignment horizontal="right"/>
    </xf>
    <xf numFmtId="0" fontId="12" fillId="12" borderId="4" xfId="0" applyFont="1" applyFill="1" applyBorder="1" applyAlignment="1">
      <alignment wrapText="1"/>
    </xf>
    <xf numFmtId="0" fontId="11" fillId="12" borderId="0" xfId="0" applyFont="1" applyFill="1" applyAlignment="1"/>
    <xf numFmtId="0" fontId="9" fillId="12" borderId="4" xfId="0" applyFont="1" applyFill="1" applyBorder="1" applyAlignment="1">
      <alignment horizontal="left"/>
    </xf>
    <xf numFmtId="0" fontId="4" fillId="12" borderId="4" xfId="0" applyFont="1" applyFill="1" applyBorder="1" applyAlignment="1">
      <alignment horizontal="left" wrapText="1"/>
    </xf>
    <xf numFmtId="0" fontId="4" fillId="12" borderId="4" xfId="0" applyFont="1" applyFill="1" applyBorder="1" applyAlignment="1">
      <alignment wrapText="1"/>
    </xf>
    <xf numFmtId="0" fontId="10" fillId="12" borderId="0" xfId="0" applyFont="1" applyFill="1" applyAlignment="1">
      <alignment horizontal="right"/>
    </xf>
    <xf numFmtId="0" fontId="11" fillId="0" borderId="0" xfId="0" applyFont="1" applyAlignment="1"/>
    <xf numFmtId="0" fontId="11" fillId="12" borderId="0" xfId="0" applyFont="1" applyFill="1" applyAlignment="1"/>
    <xf numFmtId="0" fontId="4" fillId="11" borderId="1" xfId="0" applyFont="1" applyFill="1" applyBorder="1" applyAlignment="1">
      <alignment wrapText="1"/>
    </xf>
    <xf numFmtId="0" fontId="4" fillId="12" borderId="1" xfId="0" applyFont="1" applyFill="1" applyBorder="1" applyAlignment="1">
      <alignment wrapText="1"/>
    </xf>
    <xf numFmtId="0" fontId="4" fillId="11" borderId="4" xfId="0" applyFont="1" applyFill="1" applyBorder="1" applyAlignment="1">
      <alignment wrapText="1"/>
    </xf>
    <xf numFmtId="0" fontId="11" fillId="5" borderId="0" xfId="0" applyFont="1" applyFill="1" applyAlignment="1">
      <alignment horizontal="right"/>
    </xf>
    <xf numFmtId="0" fontId="12" fillId="12" borderId="1" xfId="0" applyFont="1" applyFill="1" applyBorder="1" applyAlignment="1">
      <alignment wrapText="1"/>
    </xf>
    <xf numFmtId="167" fontId="10" fillId="12" borderId="4" xfId="0" applyNumberFormat="1" applyFont="1" applyFill="1" applyBorder="1" applyAlignment="1">
      <alignment horizontal="right"/>
    </xf>
    <xf numFmtId="0" fontId="10" fillId="8" borderId="0" xfId="0" applyFont="1" applyFill="1" applyAlignment="1">
      <alignment horizontal="right"/>
    </xf>
    <xf numFmtId="0" fontId="11" fillId="8" borderId="0" xfId="0" applyFont="1" applyFill="1" applyAlignment="1">
      <alignment horizontal="right"/>
    </xf>
    <xf numFmtId="0" fontId="4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9" fillId="2" borderId="4" xfId="0" applyFont="1" applyFill="1" applyBorder="1" applyAlignment="1"/>
    <xf numFmtId="0" fontId="9" fillId="2" borderId="4" xfId="0" applyFont="1" applyFill="1" applyBorder="1" applyAlignment="1"/>
    <xf numFmtId="165" fontId="9" fillId="2" borderId="4" xfId="0" applyNumberFormat="1" applyFont="1" applyFill="1" applyBorder="1" applyAlignment="1">
      <alignment horizontal="center"/>
    </xf>
    <xf numFmtId="0" fontId="16" fillId="2" borderId="4" xfId="0" applyFont="1" applyFill="1" applyBorder="1" applyAlignment="1">
      <alignment wrapText="1"/>
    </xf>
    <xf numFmtId="2" fontId="10" fillId="2" borderId="4" xfId="0" applyNumberFormat="1" applyFont="1" applyFill="1" applyBorder="1" applyAlignment="1"/>
    <xf numFmtId="0" fontId="10" fillId="2" borderId="4" xfId="0" applyFont="1" applyFill="1" applyBorder="1" applyAlignment="1"/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166" fontId="9" fillId="2" borderId="4" xfId="0" applyNumberFormat="1" applyFont="1" applyFill="1" applyBorder="1" applyAlignment="1">
      <alignment horizontal="center"/>
    </xf>
    <xf numFmtId="0" fontId="1" fillId="13" borderId="4" xfId="0" applyFont="1" applyFill="1" applyBorder="1" applyAlignment="1">
      <alignment wrapText="1"/>
    </xf>
    <xf numFmtId="0" fontId="9" fillId="14" borderId="4" xfId="0" applyFont="1" applyFill="1" applyBorder="1" applyAlignment="1"/>
    <xf numFmtId="0" fontId="9" fillId="14" borderId="4" xfId="0" applyFont="1" applyFill="1" applyBorder="1" applyAlignment="1"/>
    <xf numFmtId="166" fontId="9" fillId="14" borderId="4" xfId="0" applyNumberFormat="1" applyFont="1" applyFill="1" applyBorder="1" applyAlignment="1">
      <alignment horizontal="center"/>
    </xf>
    <xf numFmtId="0" fontId="10" fillId="14" borderId="4" xfId="0" applyFont="1" applyFill="1" applyBorder="1" applyAlignment="1"/>
    <xf numFmtId="0" fontId="1" fillId="14" borderId="4" xfId="0" applyFont="1" applyFill="1" applyBorder="1" applyAlignment="1">
      <alignment wrapText="1"/>
    </xf>
    <xf numFmtId="165" fontId="9" fillId="14" borderId="4" xfId="0" applyNumberFormat="1" applyFont="1" applyFill="1" applyBorder="1" applyAlignment="1">
      <alignment horizontal="center"/>
    </xf>
    <xf numFmtId="0" fontId="9" fillId="14" borderId="4" xfId="0" applyFont="1" applyFill="1" applyBorder="1" applyAlignment="1">
      <alignment horizontal="center"/>
    </xf>
    <xf numFmtId="0" fontId="11" fillId="14" borderId="4" xfId="0" applyFont="1" applyFill="1" applyBorder="1" applyAlignment="1"/>
    <xf numFmtId="0" fontId="6" fillId="14" borderId="1" xfId="0" applyFont="1" applyFill="1" applyBorder="1" applyAlignment="1">
      <alignment wrapText="1"/>
    </xf>
    <xf numFmtId="167" fontId="10" fillId="14" borderId="4" xfId="0" applyNumberFormat="1" applyFont="1" applyFill="1" applyBorder="1" applyAlignment="1"/>
    <xf numFmtId="0" fontId="9" fillId="14" borderId="4" xfId="0" applyFont="1" applyFill="1" applyBorder="1" applyAlignment="1">
      <alignment wrapText="1"/>
    </xf>
    <xf numFmtId="165" fontId="9" fillId="14" borderId="4" xfId="0" applyNumberFormat="1" applyFont="1" applyFill="1" applyBorder="1" applyAlignment="1">
      <alignment horizontal="center"/>
    </xf>
    <xf numFmtId="0" fontId="10" fillId="13" borderId="4" xfId="0" applyFont="1" applyFill="1" applyBorder="1" applyAlignment="1">
      <alignment horizontal="right"/>
    </xf>
    <xf numFmtId="165" fontId="9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2" fontId="11" fillId="2" borderId="4" xfId="0" applyNumberFormat="1" applyFont="1" applyFill="1" applyBorder="1" applyAlignment="1">
      <alignment horizontal="right"/>
    </xf>
    <xf numFmtId="0" fontId="4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165" fontId="9" fillId="0" borderId="4" xfId="0" applyNumberFormat="1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2" fontId="17" fillId="2" borderId="4" xfId="0" applyNumberFormat="1" applyFont="1" applyFill="1" applyBorder="1" applyAlignment="1">
      <alignment horizontal="right"/>
    </xf>
    <xf numFmtId="0" fontId="17" fillId="3" borderId="4" xfId="0" applyFont="1" applyFill="1" applyBorder="1" applyAlignment="1"/>
    <xf numFmtId="0" fontId="11" fillId="6" borderId="0" xfId="0" applyFont="1" applyFill="1" applyAlignment="1"/>
    <xf numFmtId="166" fontId="9" fillId="0" borderId="4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2" fontId="18" fillId="2" borderId="4" xfId="0" applyNumberFormat="1" applyFont="1" applyFill="1" applyBorder="1" applyAlignment="1">
      <alignment horizontal="right"/>
    </xf>
    <xf numFmtId="0" fontId="11" fillId="3" borderId="4" xfId="0" applyFont="1" applyFill="1" applyBorder="1" applyAlignment="1"/>
    <xf numFmtId="0" fontId="11" fillId="2" borderId="5" xfId="0" applyFont="1" applyFill="1" applyBorder="1" applyAlignment="1"/>
    <xf numFmtId="0" fontId="6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9" fillId="0" borderId="1" xfId="0" applyFont="1" applyBorder="1" applyAlignment="1"/>
    <xf numFmtId="0" fontId="19" fillId="0" borderId="1" xfId="0" applyFont="1" applyBorder="1"/>
    <xf numFmtId="165" fontId="19" fillId="0" borderId="1" xfId="0" applyNumberFormat="1" applyFont="1" applyBorder="1" applyAlignment="1"/>
    <xf numFmtId="2" fontId="20" fillId="0" borderId="1" xfId="0" applyNumberFormat="1" applyFont="1" applyBorder="1" applyAlignment="1"/>
    <xf numFmtId="2" fontId="20" fillId="2" borderId="1" xfId="0" applyNumberFormat="1" applyFont="1" applyFill="1" applyBorder="1" applyAlignment="1">
      <alignment horizontal="right"/>
    </xf>
    <xf numFmtId="0" fontId="20" fillId="3" borderId="4" xfId="0" applyFont="1" applyFill="1" applyBorder="1" applyAlignment="1"/>
    <xf numFmtId="0" fontId="21" fillId="3" borderId="0" xfId="0" applyFont="1" applyFill="1"/>
    <xf numFmtId="0" fontId="21" fillId="15" borderId="0" xfId="0" applyFont="1" applyFill="1"/>
    <xf numFmtId="0" fontId="21" fillId="5" borderId="0" xfId="0" applyFont="1" applyFill="1" applyAlignment="1"/>
    <xf numFmtId="0" fontId="19" fillId="0" borderId="1" xfId="0" applyFont="1" applyBorder="1" applyAlignment="1">
      <alignment horizontal="center"/>
    </xf>
    <xf numFmtId="0" fontId="21" fillId="3" borderId="0" xfId="0" applyFont="1" applyFill="1" applyAlignment="1"/>
    <xf numFmtId="0" fontId="22" fillId="0" borderId="1" xfId="0" applyFont="1" applyBorder="1" applyAlignment="1">
      <alignment wrapText="1"/>
    </xf>
    <xf numFmtId="0" fontId="20" fillId="0" borderId="1" xfId="0" applyFont="1" applyBorder="1" applyAlignment="1"/>
    <xf numFmtId="0" fontId="20" fillId="3" borderId="1" xfId="0" applyFont="1" applyFill="1" applyBorder="1" applyAlignment="1"/>
    <xf numFmtId="0" fontId="12" fillId="0" borderId="8" xfId="0" applyFont="1" applyBorder="1" applyAlignment="1">
      <alignment wrapText="1"/>
    </xf>
    <xf numFmtId="0" fontId="6" fillId="2" borderId="3" xfId="0" applyFont="1" applyFill="1" applyBorder="1" applyAlignment="1"/>
    <xf numFmtId="0" fontId="6" fillId="2" borderId="4" xfId="0" applyFont="1" applyFill="1" applyBorder="1" applyAlignment="1">
      <alignment horizontal="center"/>
    </xf>
    <xf numFmtId="165" fontId="6" fillId="2" borderId="4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right"/>
    </xf>
    <xf numFmtId="0" fontId="17" fillId="2" borderId="0" xfId="0" applyFont="1" applyFill="1" applyAlignment="1"/>
    <xf numFmtId="0" fontId="11" fillId="15" borderId="0" xfId="0" applyFont="1" applyFill="1" applyAlignment="1"/>
    <xf numFmtId="0" fontId="11" fillId="16" borderId="0" xfId="0" applyFont="1" applyFill="1" applyAlignment="1"/>
    <xf numFmtId="0" fontId="22" fillId="0" borderId="8" xfId="0" applyFont="1" applyBorder="1" applyAlignment="1">
      <alignment wrapText="1"/>
    </xf>
    <xf numFmtId="0" fontId="19" fillId="0" borderId="3" xfId="0" applyFont="1" applyBorder="1" applyAlignment="1"/>
    <xf numFmtId="0" fontId="19" fillId="0" borderId="4" xfId="0" applyFont="1" applyBorder="1" applyAlignment="1">
      <alignment horizontal="center"/>
    </xf>
    <xf numFmtId="166" fontId="19" fillId="0" borderId="4" xfId="0" applyNumberFormat="1" applyFont="1" applyBorder="1" applyAlignment="1"/>
    <xf numFmtId="2" fontId="20" fillId="0" borderId="4" xfId="0" applyNumberFormat="1" applyFont="1" applyBorder="1" applyAlignment="1"/>
    <xf numFmtId="0" fontId="21" fillId="6" borderId="0" xfId="0" applyFont="1" applyFill="1" applyAlignment="1"/>
    <xf numFmtId="0" fontId="22" fillId="0" borderId="1" xfId="0" applyFont="1" applyBorder="1" applyAlignment="1">
      <alignment wrapText="1"/>
    </xf>
    <xf numFmtId="0" fontId="21" fillId="7" borderId="0" xfId="0" applyFont="1" applyFill="1"/>
    <xf numFmtId="165" fontId="19" fillId="0" borderId="4" xfId="0" applyNumberFormat="1" applyFont="1" applyBorder="1" applyAlignment="1"/>
    <xf numFmtId="0" fontId="21" fillId="7" borderId="0" xfId="0" applyFont="1" applyFill="1" applyAlignment="1"/>
    <xf numFmtId="0" fontId="19" fillId="0" borderId="4" xfId="0" applyFont="1" applyBorder="1" applyAlignment="1"/>
    <xf numFmtId="166" fontId="19" fillId="0" borderId="1" xfId="0" applyNumberFormat="1" applyFont="1" applyBorder="1" applyAlignment="1"/>
    <xf numFmtId="0" fontId="19" fillId="0" borderId="1" xfId="0" applyFont="1" applyBorder="1" applyAlignment="1">
      <alignment horizontal="center"/>
    </xf>
    <xf numFmtId="0" fontId="12" fillId="2" borderId="0" xfId="0" applyFont="1" applyFill="1" applyAlignment="1"/>
    <xf numFmtId="0" fontId="19" fillId="0" borderId="4" xfId="0" applyFont="1" applyBorder="1"/>
    <xf numFmtId="0" fontId="12" fillId="2" borderId="8" xfId="0" applyFont="1" applyFill="1" applyBorder="1" applyAlignment="1">
      <alignment wrapText="1"/>
    </xf>
    <xf numFmtId="0" fontId="12" fillId="0" borderId="1" xfId="0" applyFont="1" applyBorder="1" applyAlignment="1"/>
    <xf numFmtId="0" fontId="12" fillId="2" borderId="8" xfId="0" applyFont="1" applyFill="1" applyBorder="1" applyAlignment="1"/>
    <xf numFmtId="0" fontId="4" fillId="2" borderId="1" xfId="0" applyFont="1" applyFill="1" applyBorder="1" applyAlignment="1"/>
    <xf numFmtId="0" fontId="21" fillId="17" borderId="0" xfId="0" applyFont="1" applyFill="1"/>
    <xf numFmtId="0" fontId="22" fillId="0" borderId="8" xfId="0" applyFont="1" applyBorder="1" applyAlignment="1">
      <alignment wrapText="1"/>
    </xf>
    <xf numFmtId="0" fontId="20" fillId="0" borderId="4" xfId="0" applyFont="1" applyBorder="1" applyAlignment="1"/>
    <xf numFmtId="0" fontId="10" fillId="17" borderId="0" xfId="0" applyFont="1" applyFill="1" applyAlignment="1">
      <alignment horizontal="right"/>
    </xf>
    <xf numFmtId="165" fontId="22" fillId="2" borderId="4" xfId="0" applyNumberFormat="1" applyFont="1" applyFill="1" applyBorder="1" applyAlignment="1"/>
    <xf numFmtId="2" fontId="20" fillId="2" borderId="4" xfId="0" applyNumberFormat="1" applyFont="1" applyFill="1" applyBorder="1" applyAlignment="1"/>
    <xf numFmtId="0" fontId="20" fillId="2" borderId="4" xfId="0" applyFont="1" applyFill="1" applyBorder="1" applyAlignment="1"/>
    <xf numFmtId="0" fontId="21" fillId="2" borderId="0" xfId="0" applyFont="1" applyFill="1" applyAlignment="1"/>
    <xf numFmtId="0" fontId="21" fillId="17" borderId="0" xfId="0" applyFont="1" applyFill="1" applyAlignment="1"/>
    <xf numFmtId="0" fontId="22" fillId="2" borderId="8" xfId="0" applyFont="1" applyFill="1" applyBorder="1" applyAlignment="1">
      <alignment wrapText="1"/>
    </xf>
    <xf numFmtId="0" fontId="21" fillId="2" borderId="0" xfId="0" applyFont="1" applyFill="1"/>
    <xf numFmtId="0" fontId="12" fillId="0" borderId="1" xfId="0" applyFont="1" applyBorder="1" applyAlignment="1">
      <alignment wrapText="1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center"/>
    </xf>
    <xf numFmtId="2" fontId="18" fillId="0" borderId="4" xfId="0" applyNumberFormat="1" applyFont="1" applyBorder="1" applyAlignment="1">
      <alignment horizontal="right"/>
    </xf>
    <xf numFmtId="0" fontId="23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8" fillId="2" borderId="0" xfId="0" applyFont="1" applyFill="1" applyAlignment="1"/>
    <xf numFmtId="0" fontId="18" fillId="2" borderId="4" xfId="0" applyFont="1" applyFill="1" applyBorder="1" applyAlignment="1">
      <alignment horizontal="right"/>
    </xf>
    <xf numFmtId="166" fontId="6" fillId="2" borderId="4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wrapText="1"/>
    </xf>
    <xf numFmtId="0" fontId="20" fillId="2" borderId="1" xfId="0" applyFont="1" applyFill="1" applyBorder="1" applyAlignment="1"/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0" fillId="2" borderId="0" xfId="0" applyFont="1" applyFill="1"/>
    <xf numFmtId="0" fontId="22" fillId="2" borderId="0" xfId="0" applyFont="1" applyFill="1"/>
    <xf numFmtId="0" fontId="22" fillId="3" borderId="0" xfId="0" applyFont="1" applyFill="1"/>
    <xf numFmtId="0" fontId="22" fillId="5" borderId="0" xfId="0" applyFont="1" applyFill="1" applyAlignment="1"/>
    <xf numFmtId="0" fontId="22" fillId="6" borderId="0" xfId="0" applyFont="1" applyFill="1" applyAlignment="1"/>
    <xf numFmtId="0" fontId="22" fillId="17" borderId="0" xfId="0" applyFont="1" applyFill="1" applyAlignment="1"/>
    <xf numFmtId="0" fontId="6" fillId="2" borderId="1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2" borderId="9" xfId="0" applyFont="1" applyFill="1" applyBorder="1" applyAlignment="1"/>
    <xf numFmtId="0" fontId="6" fillId="2" borderId="9" xfId="0" applyFont="1" applyFill="1" applyBorder="1" applyAlignment="1">
      <alignment horizontal="center"/>
    </xf>
    <xf numFmtId="165" fontId="6" fillId="2" borderId="10" xfId="0" applyNumberFormat="1" applyFont="1" applyFill="1" applyBorder="1" applyAlignment="1">
      <alignment horizontal="center"/>
    </xf>
    <xf numFmtId="0" fontId="17" fillId="2" borderId="10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11" fillId="2" borderId="0" xfId="0" applyFont="1" applyFill="1" applyAlignment="1">
      <alignment horizontal="right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19" fillId="0" borderId="0" xfId="0" applyFont="1" applyAlignment="1"/>
    <xf numFmtId="0" fontId="19" fillId="0" borderId="0" xfId="0" applyFont="1"/>
    <xf numFmtId="2" fontId="20" fillId="0" borderId="0" xfId="0" applyNumberFormat="1" applyFont="1" applyAlignment="1"/>
    <xf numFmtId="2" fontId="20" fillId="2" borderId="0" xfId="0" applyNumberFormat="1" applyFont="1" applyFill="1" applyAlignment="1">
      <alignment horizontal="right"/>
    </xf>
    <xf numFmtId="0" fontId="20" fillId="3" borderId="0" xfId="0" applyFont="1" applyFill="1" applyAlignment="1"/>
    <xf numFmtId="0" fontId="21" fillId="0" borderId="0" xfId="0" applyFont="1" applyAlignment="1"/>
    <xf numFmtId="0" fontId="19" fillId="0" borderId="0" xfId="0" applyFont="1" applyAlignment="1">
      <alignment wrapText="1"/>
    </xf>
    <xf numFmtId="0" fontId="19" fillId="3" borderId="0" xfId="0" applyFont="1" applyFill="1"/>
    <xf numFmtId="0" fontId="21" fillId="0" borderId="0" xfId="0" applyFont="1" applyAlignment="1">
      <alignment wrapText="1"/>
    </xf>
    <xf numFmtId="0" fontId="21" fillId="4" borderId="0" xfId="0" applyFont="1" applyFill="1"/>
    <xf numFmtId="0" fontId="21" fillId="5" borderId="0" xfId="0" applyFont="1" applyFill="1"/>
    <xf numFmtId="0" fontId="21" fillId="6" borderId="0" xfId="0" applyFont="1" applyFill="1"/>
    <xf numFmtId="0" fontId="21" fillId="8" borderId="0" xfId="0" applyFont="1" applyFill="1"/>
    <xf numFmtId="0" fontId="21" fillId="9" borderId="0" xfId="0" applyFont="1" applyFill="1"/>
    <xf numFmtId="0" fontId="11" fillId="3" borderId="0" xfId="0" applyFont="1" applyFill="1" applyAlignment="1"/>
    <xf numFmtId="0" fontId="11" fillId="3" borderId="0" xfId="0" applyFont="1" applyFill="1" applyAlignment="1">
      <alignment wrapText="1"/>
    </xf>
    <xf numFmtId="2" fontId="20" fillId="6" borderId="1" xfId="0" applyNumberFormat="1" applyFont="1" applyFill="1" applyBorder="1" applyAlignment="1">
      <alignment horizontal="right"/>
    </xf>
    <xf numFmtId="2" fontId="18" fillId="6" borderId="4" xfId="0" applyNumberFormat="1" applyFont="1" applyFill="1" applyBorder="1" applyAlignment="1">
      <alignment horizontal="right"/>
    </xf>
    <xf numFmtId="0" fontId="4" fillId="2" borderId="8" xfId="0" applyFont="1" applyFill="1" applyBorder="1" applyAlignment="1"/>
    <xf numFmtId="0" fontId="20" fillId="2" borderId="3" xfId="0" applyFont="1" applyFill="1" applyBorder="1" applyAlignment="1"/>
    <xf numFmtId="0" fontId="20" fillId="2" borderId="4" xfId="0" applyFont="1" applyFill="1" applyBorder="1" applyAlignment="1">
      <alignment horizontal="center"/>
    </xf>
    <xf numFmtId="2" fontId="20" fillId="2" borderId="1" xfId="0" applyNumberFormat="1" applyFont="1" applyFill="1" applyBorder="1" applyAlignment="1"/>
    <xf numFmtId="0" fontId="0" fillId="0" borderId="0" xfId="0" applyFont="1" applyAlignment="1"/>
    <xf numFmtId="0" fontId="3" fillId="2" borderId="0" xfId="0" applyFont="1" applyFill="1" applyAlignment="1"/>
    <xf numFmtId="0" fontId="0" fillId="0" borderId="0" xfId="0" applyFont="1" applyAlignment="1"/>
    <xf numFmtId="0" fontId="14" fillId="0" borderId="6" xfId="0" applyFont="1" applyBorder="1" applyAlignment="1">
      <alignment horizontal="center" wrapText="1"/>
    </xf>
    <xf numFmtId="0" fontId="15" fillId="0" borderId="6" xfId="0" applyFont="1" applyBorder="1"/>
    <xf numFmtId="0" fontId="14" fillId="0" borderId="7" xfId="0" applyFont="1" applyBorder="1" applyAlignment="1">
      <alignment wrapText="1"/>
    </xf>
    <xf numFmtId="0" fontId="15" fillId="0" borderId="2" xfId="0" applyFont="1" applyBorder="1"/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wrapText="1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28" fillId="0" borderId="1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wrapText="1"/>
    </xf>
    <xf numFmtId="0" fontId="28" fillId="0" borderId="2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wrapText="1"/>
    </xf>
    <xf numFmtId="0" fontId="25" fillId="0" borderId="2" xfId="0" applyFont="1" applyFill="1" applyBorder="1" applyAlignment="1">
      <alignment wrapText="1"/>
    </xf>
    <xf numFmtId="0" fontId="25" fillId="0" borderId="0" xfId="0" applyFont="1" applyFill="1" applyAlignment="1">
      <alignment wrapText="1"/>
    </xf>
    <xf numFmtId="0" fontId="26" fillId="0" borderId="3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/>
    </xf>
    <xf numFmtId="165" fontId="28" fillId="0" borderId="4" xfId="0" applyNumberFormat="1" applyFont="1" applyFill="1" applyBorder="1" applyAlignment="1">
      <alignment horizontal="center"/>
    </xf>
    <xf numFmtId="0" fontId="25" fillId="0" borderId="4" xfId="0" applyFont="1" applyFill="1" applyBorder="1" applyAlignment="1">
      <alignment horizontal="right"/>
    </xf>
    <xf numFmtId="2" fontId="25" fillId="0" borderId="4" xfId="0" applyNumberFormat="1" applyFont="1" applyFill="1" applyBorder="1" applyAlignment="1">
      <alignment horizontal="right"/>
    </xf>
    <xf numFmtId="0" fontId="25" fillId="0" borderId="0" xfId="0" applyFont="1" applyFill="1" applyAlignment="1">
      <alignment horizontal="right"/>
    </xf>
    <xf numFmtId="0" fontId="26" fillId="0" borderId="5" xfId="0" applyFont="1" applyFill="1" applyBorder="1" applyAlignment="1">
      <alignment horizontal="left" wrapText="1"/>
    </xf>
    <xf numFmtId="0" fontId="27" fillId="0" borderId="3" xfId="0" applyFont="1" applyFill="1" applyBorder="1" applyAlignment="1">
      <alignment horizontal="left"/>
    </xf>
    <xf numFmtId="0" fontId="28" fillId="0" borderId="4" xfId="0" applyFont="1" applyFill="1" applyBorder="1" applyAlignment="1">
      <alignment horizontal="center"/>
    </xf>
    <xf numFmtId="166" fontId="28" fillId="0" borderId="4" xfId="0" applyNumberFormat="1" applyFont="1" applyFill="1" applyBorder="1" applyAlignment="1">
      <alignment horizontal="center"/>
    </xf>
    <xf numFmtId="0" fontId="26" fillId="0" borderId="5" xfId="0" applyFont="1" applyFill="1" applyBorder="1" applyAlignment="1">
      <alignment wrapText="1"/>
    </xf>
    <xf numFmtId="0" fontId="27" fillId="0" borderId="4" xfId="0" applyFont="1" applyFill="1" applyBorder="1" applyAlignment="1">
      <alignment horizontal="left"/>
    </xf>
    <xf numFmtId="0" fontId="26" fillId="0" borderId="3" xfId="0" applyFont="1" applyFill="1" applyBorder="1" applyAlignment="1">
      <alignment horizontal="left" wrapText="1"/>
    </xf>
    <xf numFmtId="0" fontId="25" fillId="0" borderId="0" xfId="0" applyFont="1" applyFill="1" applyAlignment="1"/>
    <xf numFmtId="167" fontId="25" fillId="0" borderId="4" xfId="0" applyNumberFormat="1" applyFont="1" applyFill="1" applyBorder="1" applyAlignment="1">
      <alignment horizontal="right"/>
    </xf>
    <xf numFmtId="0" fontId="29" fillId="0" borderId="5" xfId="0" applyFont="1" applyFill="1" applyBorder="1" applyAlignment="1">
      <alignment horizontal="left" wrapText="1"/>
    </xf>
    <xf numFmtId="0" fontId="28" fillId="0" borderId="4" xfId="0" applyFont="1" applyFill="1" applyBorder="1" applyAlignment="1">
      <alignment horizontal="center" wrapText="1"/>
    </xf>
    <xf numFmtId="165" fontId="28" fillId="0" borderId="4" xfId="0" applyNumberFormat="1" applyFont="1" applyFill="1" applyBorder="1" applyAlignment="1">
      <alignment horizontal="center" wrapText="1"/>
    </xf>
    <xf numFmtId="0" fontId="28" fillId="0" borderId="1" xfId="0" applyFont="1" applyFill="1" applyBorder="1" applyAlignment="1"/>
    <xf numFmtId="165" fontId="28" fillId="0" borderId="1" xfId="0" applyNumberFormat="1" applyFont="1" applyFill="1" applyBorder="1" applyAlignment="1">
      <alignment horizontal="center"/>
    </xf>
    <xf numFmtId="0" fontId="28" fillId="0" borderId="0" xfId="0" applyFont="1" applyFill="1" applyAlignment="1"/>
    <xf numFmtId="0" fontId="29" fillId="0" borderId="1" xfId="0" applyFont="1" applyFill="1" applyBorder="1" applyAlignment="1">
      <alignment horizontal="left" wrapText="1"/>
    </xf>
    <xf numFmtId="0" fontId="28" fillId="0" borderId="1" xfId="0" applyFont="1" applyFill="1" applyBorder="1" applyAlignment="1">
      <alignment horizontal="center" wrapText="1"/>
    </xf>
    <xf numFmtId="0" fontId="29" fillId="0" borderId="4" xfId="0" applyFont="1" applyFill="1" applyBorder="1" applyAlignment="1">
      <alignment horizontal="left" wrapText="1"/>
    </xf>
    <xf numFmtId="0" fontId="28" fillId="0" borderId="4" xfId="0" applyFont="1" applyFill="1" applyBorder="1" applyAlignment="1"/>
    <xf numFmtId="0" fontId="29" fillId="0" borderId="1" xfId="0" applyFont="1" applyFill="1" applyBorder="1" applyAlignment="1">
      <alignment horizontal="left"/>
    </xf>
    <xf numFmtId="0" fontId="29" fillId="0" borderId="4" xfId="0" applyFont="1" applyFill="1" applyBorder="1" applyAlignment="1">
      <alignment wrapText="1"/>
    </xf>
    <xf numFmtId="0" fontId="28" fillId="0" borderId="4" xfId="0" applyFont="1" applyFill="1" applyBorder="1" applyAlignment="1">
      <alignment horizontal="left"/>
    </xf>
    <xf numFmtId="0" fontId="26" fillId="0" borderId="4" xfId="0" applyFont="1" applyFill="1" applyBorder="1" applyAlignment="1">
      <alignment horizontal="left" wrapText="1"/>
    </xf>
    <xf numFmtId="0" fontId="26" fillId="0" borderId="4" xfId="0" applyFont="1" applyFill="1" applyBorder="1" applyAlignment="1">
      <alignment wrapText="1"/>
    </xf>
    <xf numFmtId="0" fontId="26" fillId="0" borderId="1" xfId="0" applyFont="1" applyFill="1" applyBorder="1" applyAlignment="1">
      <alignment wrapText="1"/>
    </xf>
    <xf numFmtId="0" fontId="29" fillId="0" borderId="1" xfId="0" applyFont="1" applyFill="1" applyBorder="1" applyAlignment="1">
      <alignment wrapText="1"/>
    </xf>
    <xf numFmtId="0" fontId="30" fillId="0" borderId="6" xfId="0" applyFont="1" applyFill="1" applyBorder="1" applyAlignment="1">
      <alignment horizontal="center" wrapText="1"/>
    </xf>
    <xf numFmtId="0" fontId="31" fillId="0" borderId="6" xfId="0" applyFont="1" applyFill="1" applyBorder="1"/>
    <xf numFmtId="0" fontId="25" fillId="0" borderId="4" xfId="0" applyFont="1" applyFill="1" applyBorder="1" applyAlignment="1">
      <alignment wrapText="1"/>
    </xf>
    <xf numFmtId="0" fontId="32" fillId="0" borderId="4" xfId="0" applyFont="1" applyFill="1" applyBorder="1" applyAlignment="1">
      <alignment wrapText="1"/>
    </xf>
    <xf numFmtId="2" fontId="25" fillId="0" borderId="4" xfId="0" applyNumberFormat="1" applyFont="1" applyFill="1" applyBorder="1" applyAlignment="1"/>
    <xf numFmtId="0" fontId="25" fillId="0" borderId="4" xfId="0" applyFont="1" applyFill="1" applyBorder="1" applyAlignment="1"/>
    <xf numFmtId="0" fontId="25" fillId="0" borderId="10" xfId="0" applyFont="1" applyFill="1" applyBorder="1" applyAlignment="1">
      <alignment wrapText="1"/>
    </xf>
    <xf numFmtId="0" fontId="28" fillId="0" borderId="10" xfId="0" applyFont="1" applyFill="1" applyBorder="1" applyAlignment="1"/>
    <xf numFmtId="0" fontId="26" fillId="0" borderId="12" xfId="0" applyFont="1" applyFill="1" applyBorder="1" applyAlignment="1">
      <alignment horizontal="center"/>
    </xf>
    <xf numFmtId="0" fontId="25" fillId="0" borderId="11" xfId="0" applyFont="1" applyFill="1" applyBorder="1" applyAlignment="1">
      <alignment wrapText="1"/>
    </xf>
    <xf numFmtId="0" fontId="28" fillId="0" borderId="11" xfId="0" applyFont="1" applyFill="1" applyBorder="1" applyAlignment="1"/>
    <xf numFmtId="167" fontId="25" fillId="0" borderId="4" xfId="0" applyNumberFormat="1" applyFont="1" applyFill="1" applyBorder="1" applyAlignment="1"/>
    <xf numFmtId="0" fontId="28" fillId="0" borderId="4" xfId="0" applyFont="1" applyFill="1" applyBorder="1" applyAlignment="1">
      <alignment wrapText="1"/>
    </xf>
    <xf numFmtId="0" fontId="26" fillId="0" borderId="3" xfId="0" applyFont="1" applyFill="1" applyBorder="1" applyAlignment="1">
      <alignment wrapText="1"/>
    </xf>
    <xf numFmtId="165" fontId="28" fillId="0" borderId="4" xfId="0" applyNumberFormat="1" applyFont="1" applyFill="1" applyBorder="1" applyAlignment="1">
      <alignment wrapText="1"/>
    </xf>
    <xf numFmtId="2" fontId="25" fillId="0" borderId="1" xfId="0" applyNumberFormat="1" applyFont="1" applyFill="1" applyBorder="1" applyAlignment="1">
      <alignment wrapText="1"/>
    </xf>
    <xf numFmtId="166" fontId="28" fillId="0" borderId="4" xfId="0" applyNumberFormat="1" applyFont="1" applyFill="1" applyBorder="1" applyAlignment="1">
      <alignment wrapText="1"/>
    </xf>
    <xf numFmtId="0" fontId="30" fillId="0" borderId="7" xfId="0" applyFont="1" applyFill="1" applyBorder="1" applyAlignment="1">
      <alignment wrapText="1"/>
    </xf>
    <xf numFmtId="0" fontId="31" fillId="0" borderId="2" xfId="0" applyFont="1" applyFill="1" applyBorder="1"/>
    <xf numFmtId="0" fontId="25" fillId="0" borderId="5" xfId="0" applyFont="1" applyFill="1" applyBorder="1" applyAlignment="1"/>
    <xf numFmtId="0" fontId="25" fillId="0" borderId="3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left"/>
    </xf>
    <xf numFmtId="0" fontId="25" fillId="0" borderId="1" xfId="0" applyFont="1" applyFill="1" applyBorder="1" applyAlignment="1"/>
    <xf numFmtId="0" fontId="25" fillId="0" borderId="1" xfId="0" applyFont="1" applyFill="1" applyBorder="1"/>
    <xf numFmtId="165" fontId="25" fillId="0" borderId="1" xfId="0" applyNumberFormat="1" applyFont="1" applyFill="1" applyBorder="1" applyAlignment="1"/>
    <xf numFmtId="2" fontId="25" fillId="0" borderId="1" xfId="0" applyNumberFormat="1" applyFont="1" applyFill="1" applyBorder="1" applyAlignment="1"/>
    <xf numFmtId="2" fontId="25" fillId="0" borderId="1" xfId="0" applyNumberFormat="1" applyFont="1" applyFill="1" applyBorder="1" applyAlignment="1">
      <alignment horizontal="right"/>
    </xf>
    <xf numFmtId="0" fontId="25" fillId="0" borderId="0" xfId="0" applyFont="1" applyFill="1"/>
    <xf numFmtId="0" fontId="25" fillId="0" borderId="1" xfId="0" applyFont="1" applyFill="1" applyBorder="1" applyAlignment="1">
      <alignment horizontal="left"/>
    </xf>
    <xf numFmtId="0" fontId="29" fillId="0" borderId="8" xfId="0" applyFont="1" applyFill="1" applyBorder="1" applyAlignment="1">
      <alignment wrapText="1"/>
    </xf>
    <xf numFmtId="0" fontId="25" fillId="0" borderId="3" xfId="0" applyFont="1" applyFill="1" applyBorder="1" applyAlignment="1"/>
    <xf numFmtId="0" fontId="25" fillId="0" borderId="4" xfId="0" applyFont="1" applyFill="1" applyBorder="1" applyAlignment="1">
      <alignment horizontal="center"/>
    </xf>
    <xf numFmtId="165" fontId="25" fillId="0" borderId="4" xfId="0" applyNumberFormat="1" applyFont="1" applyFill="1" applyBorder="1" applyAlignment="1">
      <alignment horizontal="center"/>
    </xf>
    <xf numFmtId="0" fontId="26" fillId="0" borderId="8" xfId="0" applyFont="1" applyFill="1" applyBorder="1" applyAlignment="1">
      <alignment wrapText="1"/>
    </xf>
    <xf numFmtId="166" fontId="25" fillId="0" borderId="4" xfId="0" applyNumberFormat="1" applyFont="1" applyFill="1" applyBorder="1" applyAlignment="1"/>
    <xf numFmtId="165" fontId="25" fillId="0" borderId="4" xfId="0" applyNumberFormat="1" applyFont="1" applyFill="1" applyBorder="1" applyAlignment="1"/>
    <xf numFmtId="166" fontId="25" fillId="0" borderId="1" xfId="0" applyNumberFormat="1" applyFont="1" applyFill="1" applyBorder="1" applyAlignment="1"/>
    <xf numFmtId="0" fontId="29" fillId="0" borderId="0" xfId="0" applyFont="1" applyFill="1" applyAlignment="1"/>
    <xf numFmtId="0" fontId="25" fillId="0" borderId="4" xfId="0" applyFont="1" applyFill="1" applyBorder="1"/>
    <xf numFmtId="0" fontId="29" fillId="0" borderId="1" xfId="0" applyFont="1" applyFill="1" applyBorder="1" applyAlignment="1"/>
    <xf numFmtId="0" fontId="29" fillId="0" borderId="8" xfId="0" applyFont="1" applyFill="1" applyBorder="1" applyAlignment="1"/>
    <xf numFmtId="0" fontId="26" fillId="0" borderId="8" xfId="0" applyFont="1" applyFill="1" applyBorder="1" applyAlignment="1"/>
    <xf numFmtId="0" fontId="26" fillId="0" borderId="1" xfId="0" applyFont="1" applyFill="1" applyBorder="1" applyAlignment="1"/>
    <xf numFmtId="165" fontId="26" fillId="0" borderId="4" xfId="0" applyNumberFormat="1" applyFont="1" applyFill="1" applyBorder="1" applyAlignment="1"/>
    <xf numFmtId="166" fontId="25" fillId="0" borderId="4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wrapText="1"/>
    </xf>
    <xf numFmtId="0" fontId="25" fillId="0" borderId="9" xfId="0" applyFont="1" applyFill="1" applyBorder="1" applyAlignment="1">
      <alignment horizontal="center"/>
    </xf>
    <xf numFmtId="0" fontId="25" fillId="0" borderId="9" xfId="0" applyFont="1" applyFill="1" applyBorder="1" applyAlignment="1"/>
    <xf numFmtId="165" fontId="25" fillId="0" borderId="10" xfId="0" applyNumberFormat="1" applyFont="1" applyFill="1" applyBorder="1" applyAlignment="1">
      <alignment horizontal="center"/>
    </xf>
    <xf numFmtId="0" fontId="25" fillId="0" borderId="10" xfId="0" applyFon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99"/>
  <sheetViews>
    <sheetView workbookViewId="0"/>
  </sheetViews>
  <sheetFormatPr defaultColWidth="12.5703125" defaultRowHeight="15.75" customHeight="1"/>
  <cols>
    <col min="1" max="1" width="5.7109375" customWidth="1"/>
    <col min="2" max="2" width="35.7109375" customWidth="1"/>
    <col min="3" max="3" width="6.42578125" customWidth="1"/>
    <col min="4" max="4" width="18.85546875" customWidth="1"/>
    <col min="5" max="5" width="7.5703125" customWidth="1"/>
    <col min="6" max="6" width="8.28515625" customWidth="1"/>
    <col min="7" max="7" width="11.42578125" customWidth="1"/>
    <col min="8" max="8" width="5.5703125" customWidth="1"/>
    <col min="9" max="9" width="7.28515625" customWidth="1"/>
    <col min="10" max="10" width="4.5703125" customWidth="1"/>
    <col min="11" max="11" width="7.42578125" hidden="1" customWidth="1"/>
    <col min="12" max="12" width="7.85546875" customWidth="1"/>
    <col min="13" max="13" width="7.7109375" customWidth="1"/>
    <col min="14" max="14" width="10.85546875" customWidth="1"/>
    <col min="15" max="15" width="4" customWidth="1"/>
    <col min="16" max="16" width="8.140625" customWidth="1"/>
  </cols>
  <sheetData>
    <row r="1" spans="1:16" ht="18">
      <c r="A1" s="1" t="s">
        <v>0</v>
      </c>
      <c r="B1" s="2"/>
      <c r="C1" s="3"/>
      <c r="D1" s="4"/>
      <c r="E1" s="5"/>
      <c r="F1" s="3"/>
      <c r="G1" s="6"/>
      <c r="H1" s="7"/>
      <c r="I1" s="7"/>
      <c r="J1" s="8" t="s">
        <v>1</v>
      </c>
      <c r="K1" s="8"/>
      <c r="L1" s="253" t="s">
        <v>2</v>
      </c>
      <c r="M1" s="254"/>
      <c r="N1" s="254"/>
      <c r="O1" s="254"/>
      <c r="P1" s="254"/>
    </row>
    <row r="2" spans="1:16" ht="51">
      <c r="A2" s="9" t="s">
        <v>3</v>
      </c>
      <c r="B2" s="10" t="s">
        <v>4</v>
      </c>
      <c r="C2" s="11" t="s">
        <v>5</v>
      </c>
      <c r="D2" s="12" t="s">
        <v>6</v>
      </c>
      <c r="E2" s="13" t="s">
        <v>7</v>
      </c>
      <c r="F2" s="11" t="s">
        <v>8</v>
      </c>
      <c r="G2" s="11" t="s">
        <v>9</v>
      </c>
      <c r="H2" s="14" t="s">
        <v>10</v>
      </c>
      <c r="I2" s="15" t="s">
        <v>11</v>
      </c>
      <c r="J2" s="16" t="s">
        <v>12</v>
      </c>
      <c r="K2" s="16" t="s">
        <v>13</v>
      </c>
      <c r="L2" s="17" t="s">
        <v>14</v>
      </c>
      <c r="M2" s="18" t="s">
        <v>15</v>
      </c>
      <c r="N2" s="19" t="s">
        <v>16</v>
      </c>
      <c r="O2" s="20" t="s">
        <v>17</v>
      </c>
      <c r="P2" s="21" t="s">
        <v>18</v>
      </c>
    </row>
    <row r="3" spans="1:16" ht="28.5">
      <c r="A3" s="22">
        <v>1</v>
      </c>
      <c r="B3" s="23" t="s">
        <v>19</v>
      </c>
      <c r="C3" s="24" t="s">
        <v>20</v>
      </c>
      <c r="D3" s="25" t="s">
        <v>21</v>
      </c>
      <c r="E3" s="26">
        <v>46082</v>
      </c>
      <c r="F3" s="27">
        <v>66.849999999999994</v>
      </c>
      <c r="G3" s="28">
        <f t="shared" ref="G3:G4" si="0">F3*H3</f>
        <v>200.54999999999998</v>
      </c>
      <c r="H3" s="29">
        <v>3</v>
      </c>
      <c r="I3" s="30">
        <v>24</v>
      </c>
      <c r="J3" s="31"/>
      <c r="K3" s="32"/>
      <c r="L3" s="33">
        <v>0</v>
      </c>
      <c r="M3" s="34">
        <v>20</v>
      </c>
      <c r="N3" s="35">
        <v>4</v>
      </c>
      <c r="O3" s="36"/>
      <c r="P3" s="37">
        <f t="shared" ref="P3:P19" si="1">L3+M3+N3</f>
        <v>24</v>
      </c>
    </row>
    <row r="4" spans="1:16" ht="28.5">
      <c r="A4" s="38">
        <v>2</v>
      </c>
      <c r="B4" s="39" t="s">
        <v>22</v>
      </c>
      <c r="C4" s="40" t="s">
        <v>23</v>
      </c>
      <c r="D4" s="41" t="s">
        <v>24</v>
      </c>
      <c r="E4" s="26">
        <v>46143</v>
      </c>
      <c r="F4" s="27">
        <v>25.44</v>
      </c>
      <c r="G4" s="28">
        <f t="shared" si="0"/>
        <v>101.76</v>
      </c>
      <c r="H4" s="29">
        <v>4</v>
      </c>
      <c r="I4" s="30"/>
      <c r="J4" s="31"/>
      <c r="K4" s="32"/>
      <c r="L4" s="33">
        <v>0</v>
      </c>
      <c r="M4" s="42">
        <v>2</v>
      </c>
      <c r="N4" s="43">
        <v>2</v>
      </c>
      <c r="O4" s="36"/>
      <c r="P4" s="37">
        <f t="shared" si="1"/>
        <v>4</v>
      </c>
    </row>
    <row r="5" spans="1:16" ht="28.5">
      <c r="A5" s="22">
        <v>3</v>
      </c>
      <c r="B5" s="39" t="s">
        <v>22</v>
      </c>
      <c r="C5" s="40" t="s">
        <v>23</v>
      </c>
      <c r="D5" s="41" t="s">
        <v>25</v>
      </c>
      <c r="E5" s="44">
        <v>46539</v>
      </c>
      <c r="F5" s="27">
        <v>42.18</v>
      </c>
      <c r="G5" s="28">
        <f>F5*H5-0.02</f>
        <v>1265.3800000000001</v>
      </c>
      <c r="H5" s="29">
        <v>30</v>
      </c>
      <c r="I5" s="30"/>
      <c r="J5" s="31"/>
      <c r="K5" s="32"/>
      <c r="L5" s="45">
        <v>30</v>
      </c>
      <c r="M5" s="34"/>
      <c r="N5" s="35"/>
      <c r="O5" s="36"/>
      <c r="P5" s="37">
        <f t="shared" si="1"/>
        <v>30</v>
      </c>
    </row>
    <row r="6" spans="1:16" ht="28.5">
      <c r="A6" s="22">
        <v>4</v>
      </c>
      <c r="B6" s="39" t="s">
        <v>22</v>
      </c>
      <c r="C6" s="40" t="s">
        <v>23</v>
      </c>
      <c r="D6" s="41" t="s">
        <v>26</v>
      </c>
      <c r="E6" s="26">
        <v>46447</v>
      </c>
      <c r="F6" s="27">
        <v>31.45</v>
      </c>
      <c r="G6" s="28">
        <f>F6*H6-0.05</f>
        <v>628.95000000000005</v>
      </c>
      <c r="H6" s="29">
        <v>20</v>
      </c>
      <c r="I6" s="30"/>
      <c r="J6" s="31"/>
      <c r="K6" s="32"/>
      <c r="L6" s="45">
        <v>20</v>
      </c>
      <c r="M6" s="34"/>
      <c r="N6" s="35"/>
      <c r="O6" s="36"/>
      <c r="P6" s="37">
        <f t="shared" si="1"/>
        <v>20</v>
      </c>
    </row>
    <row r="7" spans="1:16" ht="28.5">
      <c r="A7" s="22">
        <v>5</v>
      </c>
      <c r="B7" s="39" t="s">
        <v>27</v>
      </c>
      <c r="C7" s="40" t="s">
        <v>28</v>
      </c>
      <c r="D7" s="41" t="s">
        <v>29</v>
      </c>
      <c r="E7" s="44">
        <v>46023</v>
      </c>
      <c r="F7" s="27">
        <v>32.185000000000002</v>
      </c>
      <c r="G7" s="28">
        <f t="shared" ref="G7:G10" si="2">F7*H7</f>
        <v>257.48</v>
      </c>
      <c r="H7" s="29">
        <v>8</v>
      </c>
      <c r="I7" s="30">
        <v>72</v>
      </c>
      <c r="J7" s="31"/>
      <c r="K7" s="32"/>
      <c r="L7" s="45">
        <f>80-40-10-10</f>
        <v>20</v>
      </c>
      <c r="M7" s="34">
        <v>32</v>
      </c>
      <c r="N7" s="35">
        <v>20</v>
      </c>
      <c r="O7" s="36"/>
      <c r="P7" s="37">
        <f t="shared" si="1"/>
        <v>72</v>
      </c>
    </row>
    <row r="8" spans="1:16" ht="14.25">
      <c r="A8" s="22">
        <v>6</v>
      </c>
      <c r="B8" s="39" t="s">
        <v>30</v>
      </c>
      <c r="C8" s="40" t="s">
        <v>28</v>
      </c>
      <c r="D8" s="41" t="s">
        <v>31</v>
      </c>
      <c r="E8" s="44">
        <v>45992</v>
      </c>
      <c r="F8" s="27">
        <v>63.58</v>
      </c>
      <c r="G8" s="28">
        <f t="shared" si="2"/>
        <v>826.54</v>
      </c>
      <c r="H8" s="29">
        <v>13</v>
      </c>
      <c r="I8" s="30">
        <v>643</v>
      </c>
      <c r="J8" s="31"/>
      <c r="K8" s="32"/>
      <c r="L8" s="45">
        <v>0</v>
      </c>
      <c r="M8" s="34">
        <v>643</v>
      </c>
      <c r="N8" s="35"/>
      <c r="O8" s="36"/>
      <c r="P8" s="37">
        <f t="shared" si="1"/>
        <v>643</v>
      </c>
    </row>
    <row r="9" spans="1:16" ht="14.25">
      <c r="A9" s="22">
        <v>7</v>
      </c>
      <c r="B9" s="39" t="s">
        <v>32</v>
      </c>
      <c r="C9" s="40" t="s">
        <v>20</v>
      </c>
      <c r="D9" s="41" t="s">
        <v>33</v>
      </c>
      <c r="E9" s="26">
        <v>46266</v>
      </c>
      <c r="F9" s="27">
        <v>46.16</v>
      </c>
      <c r="G9" s="28">
        <f t="shared" si="2"/>
        <v>369.28</v>
      </c>
      <c r="H9" s="29">
        <v>8</v>
      </c>
      <c r="I9" s="30">
        <v>201</v>
      </c>
      <c r="J9" s="32"/>
      <c r="K9" s="32"/>
      <c r="L9" s="45">
        <f>5*28</f>
        <v>140</v>
      </c>
      <c r="M9" s="34">
        <v>33</v>
      </c>
      <c r="N9" s="43">
        <v>28</v>
      </c>
      <c r="O9" s="36"/>
      <c r="P9" s="37">
        <f t="shared" si="1"/>
        <v>201</v>
      </c>
    </row>
    <row r="10" spans="1:16" ht="14.25">
      <c r="A10" s="22">
        <v>8</v>
      </c>
      <c r="B10" s="39" t="s">
        <v>34</v>
      </c>
      <c r="C10" s="40" t="s">
        <v>23</v>
      </c>
      <c r="D10" s="41" t="s">
        <v>35</v>
      </c>
      <c r="E10" s="26">
        <v>46692</v>
      </c>
      <c r="F10" s="46">
        <v>13.942</v>
      </c>
      <c r="G10" s="28">
        <f t="shared" si="2"/>
        <v>13.942</v>
      </c>
      <c r="H10" s="29">
        <v>1</v>
      </c>
      <c r="I10" s="30"/>
      <c r="J10" s="31"/>
      <c r="K10" s="31"/>
      <c r="L10" s="45">
        <v>0</v>
      </c>
      <c r="M10" s="34"/>
      <c r="N10" s="43">
        <v>1</v>
      </c>
      <c r="O10" s="36"/>
      <c r="P10" s="37">
        <f t="shared" si="1"/>
        <v>1</v>
      </c>
    </row>
    <row r="11" spans="1:16" ht="14.25">
      <c r="A11" s="22">
        <v>9</v>
      </c>
      <c r="B11" s="39" t="s">
        <v>36</v>
      </c>
      <c r="C11" s="40" t="s">
        <v>20</v>
      </c>
      <c r="D11" s="41" t="s">
        <v>37</v>
      </c>
      <c r="E11" s="26">
        <v>46600</v>
      </c>
      <c r="F11" s="46">
        <v>27.55</v>
      </c>
      <c r="G11" s="28">
        <f>F11*H11+0.04</f>
        <v>413.29</v>
      </c>
      <c r="H11" s="29">
        <v>15</v>
      </c>
      <c r="I11" s="30">
        <v>150</v>
      </c>
      <c r="J11" s="31"/>
      <c r="K11" s="47"/>
      <c r="L11" s="45">
        <v>150</v>
      </c>
      <c r="M11" s="34"/>
      <c r="N11" s="43"/>
      <c r="O11" s="36"/>
      <c r="P11" s="37">
        <f t="shared" si="1"/>
        <v>150</v>
      </c>
    </row>
    <row r="12" spans="1:16" ht="28.5">
      <c r="A12" s="22">
        <v>10</v>
      </c>
      <c r="B12" s="39" t="s">
        <v>38</v>
      </c>
      <c r="C12" s="40" t="s">
        <v>20</v>
      </c>
      <c r="D12" s="41" t="s">
        <v>29</v>
      </c>
      <c r="E12" s="26">
        <v>46784</v>
      </c>
      <c r="F12" s="46">
        <v>26.39</v>
      </c>
      <c r="G12" s="28">
        <f>F12*H12</f>
        <v>5278</v>
      </c>
      <c r="H12" s="29">
        <v>200</v>
      </c>
      <c r="I12" s="30"/>
      <c r="J12" s="31"/>
      <c r="K12" s="47"/>
      <c r="L12" s="45">
        <f>200</f>
        <v>200</v>
      </c>
      <c r="M12" s="34"/>
      <c r="N12" s="43"/>
      <c r="O12" s="36"/>
      <c r="P12" s="37">
        <f t="shared" si="1"/>
        <v>200</v>
      </c>
    </row>
    <row r="13" spans="1:16" ht="14.25">
      <c r="A13" s="22">
        <v>11</v>
      </c>
      <c r="B13" s="39" t="s">
        <v>39</v>
      </c>
      <c r="C13" s="40" t="s">
        <v>20</v>
      </c>
      <c r="D13" s="41" t="s">
        <v>40</v>
      </c>
      <c r="E13" s="44">
        <v>47665</v>
      </c>
      <c r="F13" s="27">
        <v>152.94999999999999</v>
      </c>
      <c r="G13" s="28">
        <f>F13*H13-0.06</f>
        <v>2294.19</v>
      </c>
      <c r="H13" s="29">
        <v>15</v>
      </c>
      <c r="I13" s="30">
        <v>300</v>
      </c>
      <c r="J13" s="31"/>
      <c r="K13" s="31"/>
      <c r="L13" s="45">
        <v>300</v>
      </c>
      <c r="M13" s="34"/>
      <c r="N13" s="43"/>
      <c r="O13" s="36"/>
      <c r="P13" s="37">
        <f t="shared" si="1"/>
        <v>300</v>
      </c>
    </row>
    <row r="14" spans="1:16" ht="14.25">
      <c r="A14" s="22">
        <v>12</v>
      </c>
      <c r="B14" s="39" t="s">
        <v>41</v>
      </c>
      <c r="C14" s="40" t="s">
        <v>20</v>
      </c>
      <c r="D14" s="41" t="s">
        <v>37</v>
      </c>
      <c r="E14" s="44">
        <v>47665</v>
      </c>
      <c r="F14" s="27">
        <v>185.31</v>
      </c>
      <c r="G14" s="28">
        <f>F14*H14+0.07</f>
        <v>3706.27</v>
      </c>
      <c r="H14" s="29">
        <v>20</v>
      </c>
      <c r="I14" s="30">
        <v>200</v>
      </c>
      <c r="J14" s="31"/>
      <c r="K14" s="31"/>
      <c r="L14" s="45">
        <v>200</v>
      </c>
      <c r="M14" s="34"/>
      <c r="N14" s="43"/>
      <c r="O14" s="36"/>
      <c r="P14" s="37">
        <f t="shared" si="1"/>
        <v>200</v>
      </c>
    </row>
    <row r="15" spans="1:16" ht="28.5">
      <c r="A15" s="22">
        <v>13</v>
      </c>
      <c r="B15" s="39" t="s">
        <v>42</v>
      </c>
      <c r="C15" s="40" t="s">
        <v>43</v>
      </c>
      <c r="D15" s="41" t="s">
        <v>44</v>
      </c>
      <c r="E15" s="44">
        <v>45962</v>
      </c>
      <c r="F15" s="27">
        <v>19.53</v>
      </c>
      <c r="G15" s="48">
        <f t="shared" ref="G15:G21" si="3">F15*H15</f>
        <v>39.06</v>
      </c>
      <c r="H15" s="29">
        <v>2</v>
      </c>
      <c r="I15" s="30"/>
      <c r="J15" s="31"/>
      <c r="K15" s="31"/>
      <c r="L15" s="45">
        <v>0</v>
      </c>
      <c r="M15" s="34">
        <v>2</v>
      </c>
      <c r="N15" s="43">
        <v>0</v>
      </c>
      <c r="O15" s="36"/>
      <c r="P15" s="37">
        <f t="shared" si="1"/>
        <v>2</v>
      </c>
    </row>
    <row r="16" spans="1:16" ht="28.5">
      <c r="A16" s="22">
        <v>14</v>
      </c>
      <c r="B16" s="49" t="s">
        <v>42</v>
      </c>
      <c r="C16" s="40" t="s">
        <v>43</v>
      </c>
      <c r="D16" s="41" t="s">
        <v>44</v>
      </c>
      <c r="E16" s="44">
        <v>45962</v>
      </c>
      <c r="F16" s="27">
        <v>19.53</v>
      </c>
      <c r="G16" s="48">
        <f t="shared" si="3"/>
        <v>19.53</v>
      </c>
      <c r="H16" s="29">
        <v>1</v>
      </c>
      <c r="I16" s="30"/>
      <c r="J16" s="31"/>
      <c r="K16" s="31"/>
      <c r="L16" s="45">
        <v>0</v>
      </c>
      <c r="M16" s="34">
        <v>1</v>
      </c>
      <c r="N16" s="43"/>
      <c r="O16" s="36"/>
      <c r="P16" s="37">
        <f t="shared" si="1"/>
        <v>1</v>
      </c>
    </row>
    <row r="17" spans="1:16" ht="14.25">
      <c r="A17" s="22">
        <v>15</v>
      </c>
      <c r="B17" s="50" t="s">
        <v>45</v>
      </c>
      <c r="C17" s="51" t="s">
        <v>43</v>
      </c>
      <c r="D17" s="41" t="s">
        <v>44</v>
      </c>
      <c r="E17" s="26">
        <v>46447</v>
      </c>
      <c r="F17" s="46">
        <v>22</v>
      </c>
      <c r="G17" s="28">
        <f t="shared" si="3"/>
        <v>66</v>
      </c>
      <c r="H17" s="29">
        <v>3</v>
      </c>
      <c r="I17" s="30"/>
      <c r="J17" s="31"/>
      <c r="K17" s="31"/>
      <c r="L17" s="45">
        <v>0</v>
      </c>
      <c r="M17" s="34">
        <v>2</v>
      </c>
      <c r="N17" s="35">
        <v>1</v>
      </c>
      <c r="O17" s="36"/>
      <c r="P17" s="37">
        <f t="shared" si="1"/>
        <v>3</v>
      </c>
    </row>
    <row r="18" spans="1:16" ht="14.25">
      <c r="A18" s="38">
        <v>16</v>
      </c>
      <c r="B18" s="52" t="s">
        <v>45</v>
      </c>
      <c r="C18" s="51" t="s">
        <v>43</v>
      </c>
      <c r="D18" s="41" t="s">
        <v>44</v>
      </c>
      <c r="E18" s="26">
        <v>46447</v>
      </c>
      <c r="F18" s="46">
        <v>22</v>
      </c>
      <c r="G18" s="28">
        <f t="shared" si="3"/>
        <v>22</v>
      </c>
      <c r="H18" s="29">
        <v>1</v>
      </c>
      <c r="I18" s="30"/>
      <c r="J18" s="31"/>
      <c r="K18" s="31"/>
      <c r="L18" s="45">
        <v>0</v>
      </c>
      <c r="M18" s="34">
        <v>0</v>
      </c>
      <c r="N18" s="35">
        <v>1</v>
      </c>
      <c r="O18" s="36"/>
      <c r="P18" s="37">
        <f t="shared" si="1"/>
        <v>1</v>
      </c>
    </row>
    <row r="19" spans="1:16" ht="28.5">
      <c r="A19" s="22">
        <v>17</v>
      </c>
      <c r="B19" s="53" t="s">
        <v>46</v>
      </c>
      <c r="C19" s="51" t="s">
        <v>47</v>
      </c>
      <c r="D19" s="41" t="s">
        <v>48</v>
      </c>
      <c r="E19" s="26">
        <v>47119</v>
      </c>
      <c r="F19" s="27">
        <v>7.5330000000000004</v>
      </c>
      <c r="G19" s="28">
        <f t="shared" si="3"/>
        <v>150.66</v>
      </c>
      <c r="H19" s="29">
        <v>20</v>
      </c>
      <c r="I19" s="30"/>
      <c r="J19" s="31"/>
      <c r="K19" s="31"/>
      <c r="L19" s="45">
        <v>0</v>
      </c>
      <c r="M19" s="34">
        <v>20</v>
      </c>
      <c r="N19" s="35"/>
      <c r="O19" s="36"/>
      <c r="P19" s="37">
        <f t="shared" si="1"/>
        <v>20</v>
      </c>
    </row>
    <row r="20" spans="1:16" ht="28.5">
      <c r="A20" s="22">
        <v>18</v>
      </c>
      <c r="B20" s="53" t="s">
        <v>49</v>
      </c>
      <c r="C20" s="51" t="s">
        <v>47</v>
      </c>
      <c r="D20" s="41" t="s">
        <v>37</v>
      </c>
      <c r="E20" s="26">
        <v>47484</v>
      </c>
      <c r="F20" s="27">
        <v>70.14</v>
      </c>
      <c r="G20" s="28">
        <f t="shared" si="3"/>
        <v>210.42000000000002</v>
      </c>
      <c r="H20" s="29">
        <v>3</v>
      </c>
      <c r="I20" s="30">
        <v>30</v>
      </c>
      <c r="J20" s="31"/>
      <c r="K20" s="31"/>
      <c r="L20" s="45">
        <v>30</v>
      </c>
      <c r="M20" s="34"/>
      <c r="N20" s="35"/>
      <c r="O20" s="36"/>
      <c r="P20" s="37"/>
    </row>
    <row r="21" spans="1:16" ht="28.5">
      <c r="A21" s="22">
        <v>19</v>
      </c>
      <c r="B21" s="54" t="s">
        <v>50</v>
      </c>
      <c r="C21" s="40" t="s">
        <v>20</v>
      </c>
      <c r="D21" s="41" t="s">
        <v>51</v>
      </c>
      <c r="E21" s="26">
        <v>46447</v>
      </c>
      <c r="F21" s="27">
        <v>17.3</v>
      </c>
      <c r="G21" s="28">
        <f t="shared" si="3"/>
        <v>2612.3000000000002</v>
      </c>
      <c r="H21" s="29">
        <v>151</v>
      </c>
      <c r="I21" s="30">
        <v>754</v>
      </c>
      <c r="J21" s="31"/>
      <c r="K21" s="31"/>
      <c r="L21" s="45">
        <f>44*5</f>
        <v>220</v>
      </c>
      <c r="M21" s="42">
        <v>137</v>
      </c>
      <c r="N21" s="35">
        <v>397</v>
      </c>
      <c r="O21" s="36"/>
      <c r="P21" s="37">
        <f t="shared" ref="P21:P25" si="4">L21+M21+N21</f>
        <v>754</v>
      </c>
    </row>
    <row r="22" spans="1:16" ht="14.25">
      <c r="A22" s="38">
        <v>20</v>
      </c>
      <c r="B22" s="39" t="s">
        <v>52</v>
      </c>
      <c r="C22" s="40" t="s">
        <v>20</v>
      </c>
      <c r="D22" s="41" t="s">
        <v>53</v>
      </c>
      <c r="E22" s="26">
        <v>46419</v>
      </c>
      <c r="F22" s="27">
        <v>21.914000000000001</v>
      </c>
      <c r="G22" s="28">
        <f t="shared" ref="G22:G23" si="5">F22*H22-0.01</f>
        <v>43.818000000000005</v>
      </c>
      <c r="H22" s="29">
        <v>2</v>
      </c>
      <c r="I22" s="30">
        <v>20</v>
      </c>
      <c r="J22" s="31"/>
      <c r="K22" s="31"/>
      <c r="L22" s="45">
        <f>2*10</f>
        <v>20</v>
      </c>
      <c r="M22" s="34"/>
      <c r="N22" s="35"/>
      <c r="O22" s="36"/>
      <c r="P22" s="37">
        <f t="shared" si="4"/>
        <v>20</v>
      </c>
    </row>
    <row r="23" spans="1:16" ht="14.25">
      <c r="A23" s="22">
        <v>21</v>
      </c>
      <c r="B23" s="49" t="s">
        <v>52</v>
      </c>
      <c r="C23" s="40" t="s">
        <v>20</v>
      </c>
      <c r="D23" s="41" t="s">
        <v>53</v>
      </c>
      <c r="E23" s="26">
        <v>46419</v>
      </c>
      <c r="F23" s="27">
        <v>21.914000000000001</v>
      </c>
      <c r="G23" s="28">
        <f t="shared" si="5"/>
        <v>109.56</v>
      </c>
      <c r="H23" s="29">
        <v>5</v>
      </c>
      <c r="I23" s="30">
        <v>47</v>
      </c>
      <c r="J23" s="31"/>
      <c r="K23" s="31"/>
      <c r="L23" s="45">
        <v>0</v>
      </c>
      <c r="M23" s="34">
        <v>0</v>
      </c>
      <c r="N23" s="35">
        <v>47</v>
      </c>
      <c r="O23" s="36"/>
      <c r="P23" s="37">
        <f t="shared" si="4"/>
        <v>47</v>
      </c>
    </row>
    <row r="24" spans="1:16" ht="28.5">
      <c r="A24" s="22">
        <v>22</v>
      </c>
      <c r="B24" s="54" t="s">
        <v>54</v>
      </c>
      <c r="C24" s="40" t="s">
        <v>20</v>
      </c>
      <c r="D24" s="41" t="s">
        <v>53</v>
      </c>
      <c r="E24" s="26">
        <v>46722</v>
      </c>
      <c r="F24" s="27">
        <v>27.07</v>
      </c>
      <c r="G24" s="28">
        <f t="shared" ref="G24:G27" si="6">F24*H24</f>
        <v>270.7</v>
      </c>
      <c r="H24" s="29">
        <v>10</v>
      </c>
      <c r="I24" s="30">
        <v>100</v>
      </c>
      <c r="J24" s="31"/>
      <c r="K24" s="31"/>
      <c r="L24" s="55">
        <f>10*10</f>
        <v>100</v>
      </c>
      <c r="M24" s="34"/>
      <c r="N24" s="35"/>
      <c r="O24" s="36"/>
      <c r="P24" s="37">
        <f t="shared" si="4"/>
        <v>100</v>
      </c>
    </row>
    <row r="25" spans="1:16" ht="14.25">
      <c r="A25" s="22">
        <v>23</v>
      </c>
      <c r="B25" s="39" t="s">
        <v>55</v>
      </c>
      <c r="C25" s="40" t="s">
        <v>28</v>
      </c>
      <c r="D25" s="41" t="s">
        <v>56</v>
      </c>
      <c r="E25" s="26">
        <v>46054</v>
      </c>
      <c r="F25" s="27">
        <v>21.19</v>
      </c>
      <c r="G25" s="48">
        <f t="shared" si="6"/>
        <v>42.38</v>
      </c>
      <c r="H25" s="29">
        <v>2</v>
      </c>
      <c r="I25" s="30">
        <v>20</v>
      </c>
      <c r="J25" s="31"/>
      <c r="K25" s="31"/>
      <c r="L25" s="45">
        <v>0</v>
      </c>
      <c r="M25" s="34">
        <v>10</v>
      </c>
      <c r="N25" s="35">
        <v>10</v>
      </c>
      <c r="O25" s="36"/>
      <c r="P25" s="37">
        <f t="shared" si="4"/>
        <v>20</v>
      </c>
    </row>
    <row r="26" spans="1:16" ht="42.75">
      <c r="A26" s="22">
        <v>24</v>
      </c>
      <c r="B26" s="39" t="s">
        <v>57</v>
      </c>
      <c r="C26" s="40" t="s">
        <v>20</v>
      </c>
      <c r="D26" s="41" t="s">
        <v>37</v>
      </c>
      <c r="E26" s="44">
        <v>47058</v>
      </c>
      <c r="F26" s="46">
        <v>607.61</v>
      </c>
      <c r="G26" s="48">
        <f t="shared" si="6"/>
        <v>607.61</v>
      </c>
      <c r="H26" s="29">
        <v>1</v>
      </c>
      <c r="I26" s="30">
        <v>10</v>
      </c>
      <c r="J26" s="31"/>
      <c r="K26" s="31"/>
      <c r="L26" s="45">
        <v>10</v>
      </c>
      <c r="M26" s="34"/>
      <c r="N26" s="43"/>
      <c r="O26" s="36"/>
      <c r="P26" s="37"/>
    </row>
    <row r="27" spans="1:16" ht="28.5">
      <c r="A27" s="22">
        <v>25</v>
      </c>
      <c r="B27" s="39" t="s">
        <v>58</v>
      </c>
      <c r="C27" s="40" t="s">
        <v>20</v>
      </c>
      <c r="D27" s="41" t="s">
        <v>59</v>
      </c>
      <c r="E27" s="44">
        <v>45962</v>
      </c>
      <c r="F27" s="46">
        <v>373.4</v>
      </c>
      <c r="G27" s="28">
        <f t="shared" si="6"/>
        <v>373.4</v>
      </c>
      <c r="H27" s="29">
        <v>1</v>
      </c>
      <c r="I27" s="30">
        <v>10</v>
      </c>
      <c r="J27" s="31"/>
      <c r="K27" s="31"/>
      <c r="L27" s="45">
        <v>0</v>
      </c>
      <c r="M27" s="34">
        <v>10</v>
      </c>
      <c r="N27" s="43">
        <v>0</v>
      </c>
      <c r="O27" s="36"/>
      <c r="P27" s="37">
        <f>L27+M27+N27</f>
        <v>10</v>
      </c>
    </row>
    <row r="28" spans="1:16" ht="28.5">
      <c r="A28" s="22">
        <v>26</v>
      </c>
      <c r="B28" s="39" t="s">
        <v>60</v>
      </c>
      <c r="C28" s="40" t="s">
        <v>20</v>
      </c>
      <c r="D28" s="41" t="s">
        <v>61</v>
      </c>
      <c r="E28" s="26">
        <v>46935</v>
      </c>
      <c r="F28" s="46">
        <v>71.239999999999995</v>
      </c>
      <c r="G28" s="28">
        <f>F28*H28+0.01</f>
        <v>712.41</v>
      </c>
      <c r="H28" s="29">
        <v>10</v>
      </c>
      <c r="I28" s="56">
        <v>50</v>
      </c>
      <c r="J28" s="31"/>
      <c r="K28" s="31"/>
      <c r="L28" s="45">
        <v>50</v>
      </c>
      <c r="M28" s="34"/>
      <c r="N28" s="43"/>
      <c r="O28" s="36"/>
      <c r="P28" s="37"/>
    </row>
    <row r="29" spans="1:16" ht="28.5">
      <c r="A29" s="22">
        <v>27</v>
      </c>
      <c r="B29" s="39" t="s">
        <v>60</v>
      </c>
      <c r="C29" s="40"/>
      <c r="D29" s="41" t="s">
        <v>62</v>
      </c>
      <c r="E29" s="26">
        <v>45931</v>
      </c>
      <c r="F29" s="46">
        <v>24.716999999999999</v>
      </c>
      <c r="G29" s="28">
        <f t="shared" ref="G29:G31" si="7">F29*H29</f>
        <v>0</v>
      </c>
      <c r="H29" s="29">
        <v>0</v>
      </c>
      <c r="I29" s="56">
        <v>0</v>
      </c>
      <c r="J29" s="31"/>
      <c r="K29" s="31"/>
      <c r="L29" s="45">
        <v>0</v>
      </c>
      <c r="M29" s="34">
        <v>0</v>
      </c>
      <c r="N29" s="43">
        <v>0</v>
      </c>
      <c r="O29" s="36"/>
      <c r="P29" s="37">
        <f t="shared" ref="P29:P31" si="8">L29+M29+N29</f>
        <v>0</v>
      </c>
    </row>
    <row r="30" spans="1:16" ht="28.5">
      <c r="A30" s="22">
        <v>28</v>
      </c>
      <c r="B30" s="49" t="s">
        <v>63</v>
      </c>
      <c r="C30" s="40" t="s">
        <v>20</v>
      </c>
      <c r="D30" s="41" t="s">
        <v>64</v>
      </c>
      <c r="E30" s="26">
        <v>46023</v>
      </c>
      <c r="F30" s="27">
        <v>37.31</v>
      </c>
      <c r="G30" s="28">
        <f t="shared" si="7"/>
        <v>37.31</v>
      </c>
      <c r="H30" s="29">
        <v>1</v>
      </c>
      <c r="I30" s="56">
        <v>10</v>
      </c>
      <c r="J30" s="57"/>
      <c r="K30" s="57"/>
      <c r="L30" s="33">
        <v>0</v>
      </c>
      <c r="M30" s="34"/>
      <c r="N30" s="35">
        <v>10</v>
      </c>
      <c r="O30" s="36"/>
      <c r="P30" s="37">
        <f t="shared" si="8"/>
        <v>10</v>
      </c>
    </row>
    <row r="31" spans="1:16" ht="28.5">
      <c r="A31" s="22">
        <v>29</v>
      </c>
      <c r="B31" s="54" t="s">
        <v>65</v>
      </c>
      <c r="C31" s="40" t="s">
        <v>20</v>
      </c>
      <c r="D31" s="41" t="s">
        <v>64</v>
      </c>
      <c r="E31" s="26">
        <v>46235</v>
      </c>
      <c r="F31" s="27">
        <v>38.840000000000003</v>
      </c>
      <c r="G31" s="28">
        <f t="shared" si="7"/>
        <v>116.52000000000001</v>
      </c>
      <c r="H31" s="29">
        <v>3</v>
      </c>
      <c r="I31" s="30">
        <v>23</v>
      </c>
      <c r="J31" s="32"/>
      <c r="K31" s="32"/>
      <c r="L31" s="33">
        <v>0</v>
      </c>
      <c r="M31" s="34">
        <v>13</v>
      </c>
      <c r="N31" s="35">
        <v>10</v>
      </c>
      <c r="O31" s="36"/>
      <c r="P31" s="37">
        <f t="shared" si="8"/>
        <v>23</v>
      </c>
    </row>
    <row r="32" spans="1:16" ht="14.25">
      <c r="A32" s="22">
        <v>30</v>
      </c>
      <c r="B32" s="49" t="s">
        <v>66</v>
      </c>
      <c r="C32" s="40" t="s">
        <v>20</v>
      </c>
      <c r="D32" s="41" t="s">
        <v>67</v>
      </c>
      <c r="E32" s="44">
        <v>46966</v>
      </c>
      <c r="F32" s="27">
        <v>106.67</v>
      </c>
      <c r="G32" s="28">
        <f>F32*H32-0.03</f>
        <v>2133.37</v>
      </c>
      <c r="H32" s="29">
        <v>20</v>
      </c>
      <c r="I32" s="30">
        <v>400</v>
      </c>
      <c r="J32" s="31"/>
      <c r="K32" s="47"/>
      <c r="L32" s="45">
        <v>400</v>
      </c>
      <c r="M32" s="34"/>
      <c r="N32" s="43"/>
      <c r="O32" s="36"/>
      <c r="P32" s="37"/>
    </row>
    <row r="33" spans="1:16" ht="14.25">
      <c r="A33" s="22">
        <v>31</v>
      </c>
      <c r="B33" s="49" t="s">
        <v>68</v>
      </c>
      <c r="C33" s="40" t="s">
        <v>20</v>
      </c>
      <c r="D33" s="41" t="s">
        <v>67</v>
      </c>
      <c r="E33" s="44">
        <v>46082</v>
      </c>
      <c r="F33" s="27">
        <v>37.8673</v>
      </c>
      <c r="G33" s="28">
        <f t="shared" ref="G33:G35" si="9">F33*H33</f>
        <v>454.4076</v>
      </c>
      <c r="H33" s="29">
        <v>12</v>
      </c>
      <c r="I33" s="30">
        <v>237</v>
      </c>
      <c r="J33" s="31"/>
      <c r="K33" s="47"/>
      <c r="L33" s="45"/>
      <c r="M33" s="34">
        <v>237</v>
      </c>
      <c r="N33" s="43"/>
      <c r="O33" s="36"/>
      <c r="P33" s="37">
        <f t="shared" ref="P33:P34" si="10">L33+M33+N33</f>
        <v>237</v>
      </c>
    </row>
    <row r="34" spans="1:16" ht="14.25">
      <c r="A34" s="22">
        <v>32</v>
      </c>
      <c r="B34" s="23" t="s">
        <v>69</v>
      </c>
      <c r="C34" s="40" t="s">
        <v>20</v>
      </c>
      <c r="D34" s="41" t="s">
        <v>67</v>
      </c>
      <c r="E34" s="44">
        <v>46419</v>
      </c>
      <c r="F34" s="27">
        <v>37.229999999999997</v>
      </c>
      <c r="G34" s="28">
        <f t="shared" si="9"/>
        <v>335.07</v>
      </c>
      <c r="H34" s="29">
        <v>9</v>
      </c>
      <c r="I34" s="30">
        <v>174</v>
      </c>
      <c r="J34" s="31"/>
      <c r="K34" s="47"/>
      <c r="L34" s="45">
        <v>0</v>
      </c>
      <c r="M34" s="34">
        <v>174</v>
      </c>
      <c r="N34" s="43">
        <v>0</v>
      </c>
      <c r="O34" s="36"/>
      <c r="P34" s="37">
        <f t="shared" si="10"/>
        <v>174</v>
      </c>
    </row>
    <row r="35" spans="1:16" ht="14.25">
      <c r="A35" s="38">
        <v>33</v>
      </c>
      <c r="B35" s="23" t="s">
        <v>69</v>
      </c>
      <c r="C35" s="40" t="s">
        <v>20</v>
      </c>
      <c r="D35" s="41" t="s">
        <v>67</v>
      </c>
      <c r="E35" s="44">
        <v>46508</v>
      </c>
      <c r="F35" s="58">
        <v>36.549999999999997</v>
      </c>
      <c r="G35" s="28">
        <f t="shared" si="9"/>
        <v>73.099999999999994</v>
      </c>
      <c r="H35" s="29">
        <v>2</v>
      </c>
      <c r="I35" s="30">
        <v>40</v>
      </c>
      <c r="J35" s="59"/>
      <c r="K35" s="57"/>
      <c r="L35" s="33">
        <v>40</v>
      </c>
      <c r="M35" s="34"/>
      <c r="N35" s="35"/>
      <c r="O35" s="36"/>
      <c r="P35" s="37"/>
    </row>
    <row r="36" spans="1:16" ht="14.25">
      <c r="A36" s="38">
        <v>34</v>
      </c>
      <c r="B36" s="23" t="s">
        <v>69</v>
      </c>
      <c r="C36" s="40" t="s">
        <v>20</v>
      </c>
      <c r="D36" s="41" t="s">
        <v>67</v>
      </c>
      <c r="E36" s="44">
        <v>46874</v>
      </c>
      <c r="F36" s="58">
        <v>67.97</v>
      </c>
      <c r="G36" s="28">
        <f>F36*H36-0.17</f>
        <v>3262.39</v>
      </c>
      <c r="H36" s="29">
        <v>48</v>
      </c>
      <c r="I36" s="30">
        <v>960</v>
      </c>
      <c r="J36" s="59"/>
      <c r="K36" s="57"/>
      <c r="L36" s="33">
        <v>960</v>
      </c>
      <c r="M36" s="34"/>
      <c r="N36" s="35"/>
      <c r="O36" s="36"/>
      <c r="P36" s="37"/>
    </row>
    <row r="37" spans="1:16" ht="28.5">
      <c r="A37" s="38">
        <v>35</v>
      </c>
      <c r="B37" s="39" t="s">
        <v>70</v>
      </c>
      <c r="C37" s="40" t="s">
        <v>20</v>
      </c>
      <c r="D37" s="41" t="s">
        <v>71</v>
      </c>
      <c r="E37" s="44">
        <v>46997</v>
      </c>
      <c r="F37" s="58">
        <v>54.31</v>
      </c>
      <c r="G37" s="28">
        <f>F37*H37+0.01</f>
        <v>162.94</v>
      </c>
      <c r="H37" s="29">
        <v>3</v>
      </c>
      <c r="I37" s="30">
        <v>150</v>
      </c>
      <c r="J37" s="59"/>
      <c r="K37" s="57"/>
      <c r="L37" s="33">
        <v>150</v>
      </c>
      <c r="M37" s="34"/>
      <c r="N37" s="35"/>
      <c r="O37" s="36"/>
      <c r="P37" s="37"/>
    </row>
    <row r="38" spans="1:16" ht="14.25">
      <c r="A38" s="38">
        <v>36</v>
      </c>
      <c r="B38" s="39" t="s">
        <v>72</v>
      </c>
      <c r="C38" s="40" t="s">
        <v>23</v>
      </c>
      <c r="D38" s="41" t="s">
        <v>73</v>
      </c>
      <c r="E38" s="44">
        <v>46753</v>
      </c>
      <c r="F38" s="58">
        <v>46.72</v>
      </c>
      <c r="G38" s="28">
        <f>F38*H38-0.06</f>
        <v>700.74</v>
      </c>
      <c r="H38" s="29">
        <v>15</v>
      </c>
      <c r="I38" s="30"/>
      <c r="J38" s="59"/>
      <c r="K38" s="57"/>
      <c r="L38" s="33">
        <v>15</v>
      </c>
      <c r="M38" s="34"/>
      <c r="N38" s="35"/>
      <c r="O38" s="36"/>
      <c r="P38" s="37"/>
    </row>
    <row r="39" spans="1:16" ht="28.5">
      <c r="A39" s="38">
        <v>37</v>
      </c>
      <c r="B39" s="39" t="s">
        <v>74</v>
      </c>
      <c r="C39" s="40" t="s">
        <v>20</v>
      </c>
      <c r="D39" s="41" t="s">
        <v>37</v>
      </c>
      <c r="E39" s="44">
        <v>47515</v>
      </c>
      <c r="F39" s="58">
        <v>77.09</v>
      </c>
      <c r="G39" s="28">
        <f t="shared" ref="G39:G50" si="11">F39*H39</f>
        <v>77.09</v>
      </c>
      <c r="H39" s="29">
        <v>1</v>
      </c>
      <c r="I39" s="30">
        <v>10</v>
      </c>
      <c r="J39" s="59"/>
      <c r="K39" s="57"/>
      <c r="L39" s="33">
        <v>10</v>
      </c>
      <c r="M39" s="34"/>
      <c r="N39" s="35"/>
      <c r="O39" s="36"/>
      <c r="P39" s="37"/>
    </row>
    <row r="40" spans="1:16" ht="14.25">
      <c r="A40" s="38">
        <v>38</v>
      </c>
      <c r="B40" s="39" t="s">
        <v>75</v>
      </c>
      <c r="C40" s="40" t="s">
        <v>76</v>
      </c>
      <c r="D40" s="41" t="s">
        <v>77</v>
      </c>
      <c r="E40" s="44">
        <v>46113</v>
      </c>
      <c r="F40" s="58">
        <v>152.881666</v>
      </c>
      <c r="G40" s="28">
        <f t="shared" si="11"/>
        <v>4433.5683140000001</v>
      </c>
      <c r="H40" s="29">
        <v>29</v>
      </c>
      <c r="I40" s="30"/>
      <c r="J40" s="59"/>
      <c r="K40" s="57"/>
      <c r="L40" s="33">
        <v>0</v>
      </c>
      <c r="M40" s="34">
        <v>15</v>
      </c>
      <c r="N40" s="35">
        <v>14</v>
      </c>
      <c r="O40" s="36"/>
      <c r="P40" s="37">
        <f t="shared" ref="P40:P50" si="12">L40+M40+N40</f>
        <v>29</v>
      </c>
    </row>
    <row r="41" spans="1:16" ht="14.25">
      <c r="A41" s="22">
        <v>39</v>
      </c>
      <c r="B41" s="39" t="s">
        <v>78</v>
      </c>
      <c r="C41" s="40" t="s">
        <v>20</v>
      </c>
      <c r="D41" s="41" t="s">
        <v>79</v>
      </c>
      <c r="E41" s="44">
        <v>46174</v>
      </c>
      <c r="F41" s="27">
        <v>11.3</v>
      </c>
      <c r="G41" s="28">
        <f t="shared" si="11"/>
        <v>45.2</v>
      </c>
      <c r="H41" s="29">
        <v>4</v>
      </c>
      <c r="I41" s="30">
        <v>40</v>
      </c>
      <c r="J41" s="59"/>
      <c r="K41" s="57"/>
      <c r="L41" s="33">
        <v>0</v>
      </c>
      <c r="M41" s="34">
        <v>40</v>
      </c>
      <c r="N41" s="35"/>
      <c r="O41" s="36"/>
      <c r="P41" s="37">
        <f t="shared" si="12"/>
        <v>40</v>
      </c>
    </row>
    <row r="42" spans="1:16" ht="28.5">
      <c r="A42" s="22">
        <v>40</v>
      </c>
      <c r="B42" s="39" t="s">
        <v>80</v>
      </c>
      <c r="C42" s="40" t="s">
        <v>20</v>
      </c>
      <c r="D42" s="41" t="s">
        <v>81</v>
      </c>
      <c r="E42" s="44">
        <v>46692</v>
      </c>
      <c r="F42" s="27">
        <v>25.3</v>
      </c>
      <c r="G42" s="28">
        <f t="shared" si="11"/>
        <v>202.4</v>
      </c>
      <c r="H42" s="29">
        <v>8</v>
      </c>
      <c r="I42" s="30">
        <v>75</v>
      </c>
      <c r="J42" s="31"/>
      <c r="K42" s="31"/>
      <c r="L42" s="45">
        <f>10*10-10*10</f>
        <v>0</v>
      </c>
      <c r="M42" s="34">
        <v>75</v>
      </c>
      <c r="N42" s="43"/>
      <c r="O42" s="36"/>
      <c r="P42" s="37">
        <f t="shared" si="12"/>
        <v>75</v>
      </c>
    </row>
    <row r="43" spans="1:16" ht="28.5">
      <c r="A43" s="22">
        <v>41</v>
      </c>
      <c r="B43" s="49" t="s">
        <v>80</v>
      </c>
      <c r="C43" s="40" t="s">
        <v>20</v>
      </c>
      <c r="D43" s="41" t="s">
        <v>81</v>
      </c>
      <c r="E43" s="44">
        <v>46692</v>
      </c>
      <c r="F43" s="27">
        <v>25.3</v>
      </c>
      <c r="G43" s="28">
        <f t="shared" si="11"/>
        <v>50.6</v>
      </c>
      <c r="H43" s="29">
        <v>2</v>
      </c>
      <c r="I43" s="30">
        <v>11</v>
      </c>
      <c r="J43" s="31"/>
      <c r="K43" s="31"/>
      <c r="L43" s="45">
        <v>0</v>
      </c>
      <c r="M43" s="34">
        <v>11</v>
      </c>
      <c r="N43" s="43"/>
      <c r="O43" s="36"/>
      <c r="P43" s="37">
        <f t="shared" si="12"/>
        <v>11</v>
      </c>
    </row>
    <row r="44" spans="1:16" ht="28.5">
      <c r="A44" s="22">
        <v>42</v>
      </c>
      <c r="B44" s="54" t="s">
        <v>82</v>
      </c>
      <c r="C44" s="40" t="s">
        <v>20</v>
      </c>
      <c r="D44" s="41" t="s">
        <v>81</v>
      </c>
      <c r="E44" s="44">
        <v>47150</v>
      </c>
      <c r="F44" s="27">
        <v>31.02</v>
      </c>
      <c r="G44" s="28">
        <f t="shared" si="11"/>
        <v>961.62</v>
      </c>
      <c r="H44" s="29">
        <v>31</v>
      </c>
      <c r="I44" s="30">
        <v>310</v>
      </c>
      <c r="J44" s="31"/>
      <c r="K44" s="31"/>
      <c r="L44" s="45">
        <f>31*10</f>
        <v>310</v>
      </c>
      <c r="M44" s="34"/>
      <c r="N44" s="60"/>
      <c r="O44" s="36"/>
      <c r="P44" s="37">
        <f t="shared" si="12"/>
        <v>310</v>
      </c>
    </row>
    <row r="45" spans="1:16" ht="14.25">
      <c r="A45" s="22">
        <v>43</v>
      </c>
      <c r="B45" s="39" t="s">
        <v>83</v>
      </c>
      <c r="C45" s="40" t="s">
        <v>20</v>
      </c>
      <c r="D45" s="41" t="s">
        <v>84</v>
      </c>
      <c r="E45" s="26">
        <v>46266</v>
      </c>
      <c r="F45" s="27">
        <v>90.63</v>
      </c>
      <c r="G45" s="28">
        <f t="shared" si="11"/>
        <v>271.89</v>
      </c>
      <c r="H45" s="29">
        <v>3</v>
      </c>
      <c r="I45" s="30">
        <v>29</v>
      </c>
      <c r="J45" s="31"/>
      <c r="K45" s="32"/>
      <c r="L45" s="33">
        <v>0</v>
      </c>
      <c r="M45" s="42">
        <v>20</v>
      </c>
      <c r="N45" s="35">
        <v>10</v>
      </c>
      <c r="O45" s="36"/>
      <c r="P45" s="37">
        <f t="shared" si="12"/>
        <v>30</v>
      </c>
    </row>
    <row r="46" spans="1:16" ht="14.25">
      <c r="A46" s="22">
        <v>44</v>
      </c>
      <c r="B46" s="49" t="s">
        <v>83</v>
      </c>
      <c r="C46" s="40" t="s">
        <v>20</v>
      </c>
      <c r="D46" s="41" t="s">
        <v>84</v>
      </c>
      <c r="E46" s="26">
        <v>46266</v>
      </c>
      <c r="F46" s="27">
        <v>90.63</v>
      </c>
      <c r="G46" s="28">
        <f t="shared" si="11"/>
        <v>90.63</v>
      </c>
      <c r="H46" s="29">
        <v>1</v>
      </c>
      <c r="I46" s="30">
        <v>4</v>
      </c>
      <c r="J46" s="31"/>
      <c r="K46" s="32"/>
      <c r="L46" s="33">
        <v>0</v>
      </c>
      <c r="M46" s="42">
        <v>4</v>
      </c>
      <c r="N46" s="35"/>
      <c r="O46" s="36"/>
      <c r="P46" s="37">
        <f t="shared" si="12"/>
        <v>4</v>
      </c>
    </row>
    <row r="47" spans="1:16" ht="14.25">
      <c r="A47" s="22">
        <v>45</v>
      </c>
      <c r="B47" s="39" t="s">
        <v>85</v>
      </c>
      <c r="C47" s="40" t="s">
        <v>20</v>
      </c>
      <c r="D47" s="41" t="s">
        <v>86</v>
      </c>
      <c r="E47" s="26">
        <v>45931</v>
      </c>
      <c r="F47" s="27">
        <v>41.815330000000003</v>
      </c>
      <c r="G47" s="28">
        <f t="shared" si="11"/>
        <v>0</v>
      </c>
      <c r="H47" s="29">
        <v>0</v>
      </c>
      <c r="I47" s="30">
        <v>0</v>
      </c>
      <c r="J47" s="31"/>
      <c r="K47" s="32"/>
      <c r="L47" s="33">
        <v>0</v>
      </c>
      <c r="M47" s="42">
        <v>0</v>
      </c>
      <c r="N47" s="35">
        <v>0</v>
      </c>
      <c r="O47" s="36"/>
      <c r="P47" s="37">
        <f t="shared" si="12"/>
        <v>0</v>
      </c>
    </row>
    <row r="48" spans="1:16" ht="28.5">
      <c r="A48" s="22">
        <v>46</v>
      </c>
      <c r="B48" s="49" t="s">
        <v>87</v>
      </c>
      <c r="C48" s="40" t="s">
        <v>20</v>
      </c>
      <c r="D48" s="41" t="s">
        <v>81</v>
      </c>
      <c r="E48" s="26">
        <v>46539</v>
      </c>
      <c r="F48" s="27">
        <v>18.309999999999999</v>
      </c>
      <c r="G48" s="28">
        <f t="shared" si="11"/>
        <v>109.85999999999999</v>
      </c>
      <c r="H48" s="29">
        <v>6</v>
      </c>
      <c r="I48" s="30">
        <v>57</v>
      </c>
      <c r="J48" s="31"/>
      <c r="K48" s="32"/>
      <c r="L48" s="33">
        <v>0</v>
      </c>
      <c r="M48" s="34">
        <v>7</v>
      </c>
      <c r="N48" s="35">
        <v>50</v>
      </c>
      <c r="O48" s="36"/>
      <c r="P48" s="37">
        <f t="shared" si="12"/>
        <v>57</v>
      </c>
    </row>
    <row r="49" spans="1:16" ht="28.5">
      <c r="A49" s="38">
        <v>47</v>
      </c>
      <c r="B49" s="54" t="s">
        <v>88</v>
      </c>
      <c r="C49" s="40" t="s">
        <v>20</v>
      </c>
      <c r="D49" s="41" t="s">
        <v>81</v>
      </c>
      <c r="E49" s="26">
        <v>46813</v>
      </c>
      <c r="F49" s="27">
        <v>22.34</v>
      </c>
      <c r="G49" s="28">
        <f t="shared" si="11"/>
        <v>446.8</v>
      </c>
      <c r="H49" s="29">
        <v>20</v>
      </c>
      <c r="I49" s="30">
        <v>200</v>
      </c>
      <c r="J49" s="31"/>
      <c r="K49" s="32"/>
      <c r="L49" s="45">
        <f>20*10-1*10</f>
        <v>190</v>
      </c>
      <c r="M49" s="42">
        <v>10</v>
      </c>
      <c r="N49" s="35"/>
      <c r="O49" s="36"/>
      <c r="P49" s="37">
        <f t="shared" si="12"/>
        <v>200</v>
      </c>
    </row>
    <row r="50" spans="1:16" ht="28.5">
      <c r="A50" s="22">
        <v>48</v>
      </c>
      <c r="B50" s="49" t="s">
        <v>89</v>
      </c>
      <c r="C50" s="40" t="s">
        <v>23</v>
      </c>
      <c r="D50" s="41" t="s">
        <v>90</v>
      </c>
      <c r="E50" s="26">
        <v>46935</v>
      </c>
      <c r="F50" s="27">
        <v>16.274699999999999</v>
      </c>
      <c r="G50" s="28">
        <f t="shared" si="11"/>
        <v>32.549399999999999</v>
      </c>
      <c r="H50" s="29">
        <v>2</v>
      </c>
      <c r="I50" s="30"/>
      <c r="J50" s="31"/>
      <c r="K50" s="32"/>
      <c r="L50" s="45">
        <v>0</v>
      </c>
      <c r="M50" s="42">
        <v>2</v>
      </c>
      <c r="N50" s="35"/>
      <c r="O50" s="36"/>
      <c r="P50" s="37">
        <f t="shared" si="12"/>
        <v>2</v>
      </c>
    </row>
    <row r="51" spans="1:16" ht="28.5">
      <c r="A51" s="22">
        <v>49</v>
      </c>
      <c r="B51" s="54" t="s">
        <v>91</v>
      </c>
      <c r="C51" s="40" t="s">
        <v>23</v>
      </c>
      <c r="D51" s="41" t="s">
        <v>77</v>
      </c>
      <c r="E51" s="26">
        <v>46935</v>
      </c>
      <c r="F51" s="27">
        <v>16.760000000000002</v>
      </c>
      <c r="G51" s="28">
        <f>F51*H51-0.08</f>
        <v>335.12000000000006</v>
      </c>
      <c r="H51" s="29">
        <v>20</v>
      </c>
      <c r="I51" s="30"/>
      <c r="J51" s="31"/>
      <c r="K51" s="32"/>
      <c r="L51" s="45">
        <v>20</v>
      </c>
      <c r="M51" s="42"/>
      <c r="N51" s="35"/>
      <c r="O51" s="36"/>
      <c r="P51" s="37"/>
    </row>
    <row r="52" spans="1:16" ht="28.5">
      <c r="A52" s="22">
        <v>50</v>
      </c>
      <c r="B52" s="54" t="s">
        <v>91</v>
      </c>
      <c r="C52" s="40" t="s">
        <v>23</v>
      </c>
      <c r="D52" s="41" t="s">
        <v>77</v>
      </c>
      <c r="E52" s="26">
        <v>46905</v>
      </c>
      <c r="F52" s="27">
        <v>16.760000000000002</v>
      </c>
      <c r="G52" s="28">
        <f>F52*H52-0.04</f>
        <v>167.56000000000003</v>
      </c>
      <c r="H52" s="29">
        <v>10</v>
      </c>
      <c r="I52" s="30"/>
      <c r="J52" s="31"/>
      <c r="K52" s="32"/>
      <c r="L52" s="45">
        <v>10</v>
      </c>
      <c r="M52" s="42"/>
      <c r="N52" s="35"/>
      <c r="O52" s="36"/>
      <c r="P52" s="37"/>
    </row>
    <row r="53" spans="1:16" ht="28.5">
      <c r="A53" s="22">
        <v>51</v>
      </c>
      <c r="B53" s="54" t="s">
        <v>92</v>
      </c>
      <c r="C53" s="40" t="s">
        <v>20</v>
      </c>
      <c r="D53" s="41" t="s">
        <v>90</v>
      </c>
      <c r="E53" s="26">
        <v>46478</v>
      </c>
      <c r="F53" s="27">
        <v>17.66</v>
      </c>
      <c r="G53" s="28">
        <f t="shared" ref="G53:G57" si="13">F53*H53</f>
        <v>547.46</v>
      </c>
      <c r="H53" s="29">
        <v>31</v>
      </c>
      <c r="I53" s="30"/>
      <c r="J53" s="31"/>
      <c r="K53" s="32"/>
      <c r="L53" s="45">
        <v>0</v>
      </c>
      <c r="M53" s="42">
        <v>17</v>
      </c>
      <c r="N53" s="35">
        <v>14</v>
      </c>
      <c r="O53" s="36"/>
      <c r="P53" s="37">
        <f t="shared" ref="P53:P58" si="14">L53+M53+N53</f>
        <v>31</v>
      </c>
    </row>
    <row r="54" spans="1:16" ht="28.5">
      <c r="A54" s="38">
        <v>52</v>
      </c>
      <c r="B54" s="39" t="s">
        <v>93</v>
      </c>
      <c r="C54" s="40" t="s">
        <v>20</v>
      </c>
      <c r="D54" s="41" t="s">
        <v>94</v>
      </c>
      <c r="E54" s="44">
        <v>46327</v>
      </c>
      <c r="F54" s="27">
        <v>14.787000000000001</v>
      </c>
      <c r="G54" s="28">
        <f t="shared" si="13"/>
        <v>103.509</v>
      </c>
      <c r="H54" s="29">
        <v>7</v>
      </c>
      <c r="I54" s="30">
        <v>35</v>
      </c>
      <c r="J54" s="31"/>
      <c r="K54" s="31"/>
      <c r="L54" s="45">
        <v>0</v>
      </c>
      <c r="M54" s="42">
        <v>35</v>
      </c>
      <c r="N54" s="61"/>
      <c r="O54" s="36"/>
      <c r="P54" s="37">
        <f t="shared" si="14"/>
        <v>35</v>
      </c>
    </row>
    <row r="55" spans="1:16" ht="28.5">
      <c r="A55" s="22">
        <v>53</v>
      </c>
      <c r="B55" s="49" t="s">
        <v>93</v>
      </c>
      <c r="C55" s="40" t="s">
        <v>20</v>
      </c>
      <c r="D55" s="41" t="s">
        <v>94</v>
      </c>
      <c r="E55" s="44">
        <v>46631</v>
      </c>
      <c r="F55" s="27">
        <v>21.77</v>
      </c>
      <c r="G55" s="28">
        <f t="shared" si="13"/>
        <v>0</v>
      </c>
      <c r="H55" s="29">
        <v>0</v>
      </c>
      <c r="I55" s="30">
        <v>0</v>
      </c>
      <c r="J55" s="31"/>
      <c r="K55" s="31"/>
      <c r="L55" s="45">
        <v>0</v>
      </c>
      <c r="M55" s="42">
        <v>0</v>
      </c>
      <c r="N55" s="35">
        <v>0</v>
      </c>
      <c r="O55" s="36"/>
      <c r="P55" s="37">
        <f t="shared" si="14"/>
        <v>0</v>
      </c>
    </row>
    <row r="56" spans="1:16" ht="14.25">
      <c r="A56" s="22">
        <v>54</v>
      </c>
      <c r="B56" s="39" t="s">
        <v>95</v>
      </c>
      <c r="C56" s="40" t="s">
        <v>20</v>
      </c>
      <c r="D56" s="41" t="s">
        <v>96</v>
      </c>
      <c r="E56" s="26">
        <v>46357</v>
      </c>
      <c r="F56" s="27">
        <v>16.5</v>
      </c>
      <c r="G56" s="28">
        <f t="shared" si="13"/>
        <v>495</v>
      </c>
      <c r="H56" s="29">
        <v>30</v>
      </c>
      <c r="I56" s="30">
        <v>300</v>
      </c>
      <c r="J56" s="31"/>
      <c r="K56" s="32"/>
      <c r="L56" s="45">
        <f>30*10-2*10</f>
        <v>280</v>
      </c>
      <c r="M56" s="34">
        <v>0</v>
      </c>
      <c r="N56" s="43">
        <v>20</v>
      </c>
      <c r="O56" s="36"/>
      <c r="P56" s="37">
        <f t="shared" si="14"/>
        <v>300</v>
      </c>
    </row>
    <row r="57" spans="1:16" ht="14.25">
      <c r="A57" s="22">
        <v>55</v>
      </c>
      <c r="B57" s="49" t="s">
        <v>95</v>
      </c>
      <c r="C57" s="40" t="s">
        <v>20</v>
      </c>
      <c r="D57" s="41" t="s">
        <v>96</v>
      </c>
      <c r="E57" s="26">
        <v>46357</v>
      </c>
      <c r="F57" s="27">
        <v>16.5</v>
      </c>
      <c r="G57" s="28">
        <f t="shared" si="13"/>
        <v>49.5</v>
      </c>
      <c r="H57" s="29">
        <v>3</v>
      </c>
      <c r="I57" s="30">
        <v>27</v>
      </c>
      <c r="J57" s="31"/>
      <c r="K57" s="32"/>
      <c r="L57" s="45">
        <v>0</v>
      </c>
      <c r="M57" s="34">
        <v>27</v>
      </c>
      <c r="N57" s="43"/>
      <c r="O57" s="36"/>
      <c r="P57" s="37">
        <f t="shared" si="14"/>
        <v>27</v>
      </c>
    </row>
    <row r="58" spans="1:16" ht="14.25">
      <c r="A58" s="22">
        <v>56</v>
      </c>
      <c r="B58" s="62" t="s">
        <v>97</v>
      </c>
      <c r="C58" s="40" t="s">
        <v>23</v>
      </c>
      <c r="D58" s="63" t="s">
        <v>98</v>
      </c>
      <c r="E58" s="26">
        <v>46023</v>
      </c>
      <c r="F58" s="46">
        <v>20.48</v>
      </c>
      <c r="G58" s="48">
        <f>F58*H58-0.02</f>
        <v>245.73999999999998</v>
      </c>
      <c r="H58" s="29">
        <v>12</v>
      </c>
      <c r="I58" s="30"/>
      <c r="J58" s="31"/>
      <c r="K58" s="32"/>
      <c r="L58" s="45">
        <f>20-10-5</f>
        <v>5</v>
      </c>
      <c r="M58" s="34">
        <v>3</v>
      </c>
      <c r="N58" s="35">
        <v>4</v>
      </c>
      <c r="O58" s="36"/>
      <c r="P58" s="37">
        <f t="shared" si="14"/>
        <v>12</v>
      </c>
    </row>
    <row r="59" spans="1:16" ht="14.25">
      <c r="A59" s="22">
        <v>57</v>
      </c>
      <c r="B59" s="39" t="s">
        <v>97</v>
      </c>
      <c r="C59" s="40" t="s">
        <v>23</v>
      </c>
      <c r="D59" s="41" t="s">
        <v>98</v>
      </c>
      <c r="E59" s="26">
        <v>46508</v>
      </c>
      <c r="F59" s="27">
        <v>11.78</v>
      </c>
      <c r="G59" s="48">
        <f>F59*H59+0.07</f>
        <v>1178.07</v>
      </c>
      <c r="H59" s="64">
        <v>100</v>
      </c>
      <c r="I59" s="30"/>
      <c r="J59" s="32"/>
      <c r="K59" s="32"/>
      <c r="L59" s="33">
        <v>100</v>
      </c>
      <c r="M59" s="42"/>
      <c r="N59" s="43"/>
      <c r="O59" s="36"/>
      <c r="P59" s="37"/>
    </row>
    <row r="60" spans="1:16" ht="14.25">
      <c r="A60" s="22">
        <v>58</v>
      </c>
      <c r="B60" s="39" t="s">
        <v>99</v>
      </c>
      <c r="C60" s="40" t="s">
        <v>23</v>
      </c>
      <c r="D60" s="41" t="s">
        <v>77</v>
      </c>
      <c r="E60" s="26">
        <v>46054</v>
      </c>
      <c r="F60" s="27">
        <v>69.849999999999994</v>
      </c>
      <c r="G60" s="28">
        <f>F60*H60</f>
        <v>209.54999999999998</v>
      </c>
      <c r="H60" s="64">
        <v>3</v>
      </c>
      <c r="I60" s="30"/>
      <c r="J60" s="32"/>
      <c r="K60" s="32"/>
      <c r="L60" s="33">
        <v>0</v>
      </c>
      <c r="M60" s="42">
        <v>2</v>
      </c>
      <c r="N60" s="43">
        <v>1</v>
      </c>
      <c r="O60" s="36"/>
      <c r="P60" s="37">
        <f>L60+M60+N60</f>
        <v>3</v>
      </c>
    </row>
    <row r="61" spans="1:16" ht="42.75">
      <c r="A61" s="22">
        <v>59</v>
      </c>
      <c r="B61" s="39" t="s">
        <v>100</v>
      </c>
      <c r="C61" s="40" t="s">
        <v>20</v>
      </c>
      <c r="D61" s="41" t="s">
        <v>101</v>
      </c>
      <c r="E61" s="26">
        <v>46569</v>
      </c>
      <c r="F61" s="27">
        <v>77.430000000000007</v>
      </c>
      <c r="G61" s="28">
        <f>F61*H61-0.01</f>
        <v>232.28000000000003</v>
      </c>
      <c r="H61" s="64">
        <v>3</v>
      </c>
      <c r="I61" s="30"/>
      <c r="J61" s="32"/>
      <c r="K61" s="32"/>
      <c r="L61" s="33">
        <v>3</v>
      </c>
      <c r="M61" s="42"/>
      <c r="N61" s="43"/>
      <c r="O61" s="36"/>
      <c r="P61" s="37"/>
    </row>
    <row r="62" spans="1:16" ht="28.5">
      <c r="A62" s="22">
        <v>60</v>
      </c>
      <c r="B62" s="39" t="s">
        <v>102</v>
      </c>
      <c r="C62" s="40" t="s">
        <v>23</v>
      </c>
      <c r="D62" s="41" t="s">
        <v>103</v>
      </c>
      <c r="E62" s="26">
        <v>46388</v>
      </c>
      <c r="F62" s="27">
        <v>28.37</v>
      </c>
      <c r="G62" s="48">
        <f t="shared" ref="G62:G68" si="15">F62*H62</f>
        <v>170.22</v>
      </c>
      <c r="H62" s="64">
        <v>6</v>
      </c>
      <c r="I62" s="30"/>
      <c r="J62" s="32"/>
      <c r="K62" s="32"/>
      <c r="L62" s="33">
        <v>0</v>
      </c>
      <c r="M62" s="42">
        <v>0</v>
      </c>
      <c r="N62" s="43">
        <v>6</v>
      </c>
      <c r="O62" s="36"/>
      <c r="P62" s="37">
        <f t="shared" ref="P62:P68" si="16">L62+M62+N62</f>
        <v>6</v>
      </c>
    </row>
    <row r="63" spans="1:16" ht="14.25">
      <c r="A63" s="38">
        <v>61</v>
      </c>
      <c r="B63" s="39" t="s">
        <v>104</v>
      </c>
      <c r="C63" s="40" t="s">
        <v>23</v>
      </c>
      <c r="D63" s="41" t="s">
        <v>98</v>
      </c>
      <c r="E63" s="44">
        <v>46784</v>
      </c>
      <c r="F63" s="46">
        <v>27</v>
      </c>
      <c r="G63" s="28">
        <f t="shared" si="15"/>
        <v>10557</v>
      </c>
      <c r="H63" s="64">
        <v>391</v>
      </c>
      <c r="I63" s="30"/>
      <c r="J63" s="32"/>
      <c r="K63" s="65"/>
      <c r="L63" s="33">
        <f>390-10-30</f>
        <v>350</v>
      </c>
      <c r="M63" s="34">
        <v>31</v>
      </c>
      <c r="N63" s="35">
        <v>10</v>
      </c>
      <c r="O63" s="36"/>
      <c r="P63" s="37">
        <f t="shared" si="16"/>
        <v>391</v>
      </c>
    </row>
    <row r="64" spans="1:16" ht="14.25">
      <c r="A64" s="22">
        <v>62</v>
      </c>
      <c r="B64" s="49" t="s">
        <v>104</v>
      </c>
      <c r="C64" s="40" t="s">
        <v>23</v>
      </c>
      <c r="D64" s="41" t="s">
        <v>98</v>
      </c>
      <c r="E64" s="26">
        <v>46784</v>
      </c>
      <c r="F64" s="46">
        <v>27</v>
      </c>
      <c r="G64" s="28">
        <f t="shared" si="15"/>
        <v>0</v>
      </c>
      <c r="H64" s="29">
        <v>0</v>
      </c>
      <c r="I64" s="30"/>
      <c r="J64" s="31"/>
      <c r="K64" s="31"/>
      <c r="L64" s="45">
        <v>0</v>
      </c>
      <c r="M64" s="34">
        <v>0</v>
      </c>
      <c r="N64" s="43">
        <v>0</v>
      </c>
      <c r="O64" s="66"/>
      <c r="P64" s="37">
        <f t="shared" si="16"/>
        <v>0</v>
      </c>
    </row>
    <row r="65" spans="1:16" ht="28.5">
      <c r="A65" s="22">
        <v>63</v>
      </c>
      <c r="B65" s="49" t="s">
        <v>105</v>
      </c>
      <c r="C65" s="40" t="s">
        <v>47</v>
      </c>
      <c r="D65" s="41" t="s">
        <v>84</v>
      </c>
      <c r="E65" s="26">
        <v>46784</v>
      </c>
      <c r="F65" s="46">
        <v>26.96</v>
      </c>
      <c r="G65" s="48">
        <f t="shared" si="15"/>
        <v>26.96</v>
      </c>
      <c r="H65" s="29">
        <v>1</v>
      </c>
      <c r="I65" s="30">
        <v>5</v>
      </c>
      <c r="J65" s="31"/>
      <c r="K65" s="31"/>
      <c r="L65" s="45">
        <v>0</v>
      </c>
      <c r="M65" s="34">
        <v>5</v>
      </c>
      <c r="N65" s="43">
        <v>0</v>
      </c>
      <c r="O65" s="66"/>
      <c r="P65" s="37">
        <f t="shared" si="16"/>
        <v>5</v>
      </c>
    </row>
    <row r="66" spans="1:16" ht="18" customHeight="1">
      <c r="A66" s="22">
        <v>64</v>
      </c>
      <c r="B66" s="39" t="s">
        <v>106</v>
      </c>
      <c r="C66" s="40" t="s">
        <v>76</v>
      </c>
      <c r="D66" s="41" t="s">
        <v>77</v>
      </c>
      <c r="E66" s="67">
        <v>46113</v>
      </c>
      <c r="F66" s="58">
        <v>26.364660000000001</v>
      </c>
      <c r="G66" s="28">
        <f t="shared" si="15"/>
        <v>738.21047999999996</v>
      </c>
      <c r="H66" s="29">
        <v>28</v>
      </c>
      <c r="I66" s="30"/>
      <c r="J66" s="31"/>
      <c r="K66" s="31"/>
      <c r="L66" s="45">
        <v>0</v>
      </c>
      <c r="M66" s="34">
        <v>14</v>
      </c>
      <c r="N66" s="43">
        <v>14</v>
      </c>
      <c r="O66" s="66"/>
      <c r="P66" s="37">
        <f t="shared" si="16"/>
        <v>28</v>
      </c>
    </row>
    <row r="67" spans="1:16" ht="28.5">
      <c r="A67" s="22">
        <v>65</v>
      </c>
      <c r="B67" s="39" t="s">
        <v>107</v>
      </c>
      <c r="C67" s="40" t="s">
        <v>20</v>
      </c>
      <c r="D67" s="41" t="s">
        <v>108</v>
      </c>
      <c r="E67" s="26">
        <v>46327</v>
      </c>
      <c r="F67" s="27">
        <v>16.48</v>
      </c>
      <c r="G67" s="28">
        <f t="shared" si="15"/>
        <v>49.44</v>
      </c>
      <c r="H67" s="29">
        <v>3</v>
      </c>
      <c r="I67" s="30">
        <v>150</v>
      </c>
      <c r="J67" s="31"/>
      <c r="K67" s="31"/>
      <c r="L67" s="45">
        <v>0</v>
      </c>
      <c r="M67" s="34">
        <v>100</v>
      </c>
      <c r="N67" s="35">
        <v>50</v>
      </c>
      <c r="O67" s="36"/>
      <c r="P67" s="37">
        <f t="shared" si="16"/>
        <v>150</v>
      </c>
    </row>
    <row r="68" spans="1:16" ht="14.25">
      <c r="A68" s="22">
        <v>66</v>
      </c>
      <c r="B68" s="39" t="s">
        <v>109</v>
      </c>
      <c r="C68" s="40" t="s">
        <v>20</v>
      </c>
      <c r="D68" s="41" t="s">
        <v>110</v>
      </c>
      <c r="E68" s="26">
        <v>46357</v>
      </c>
      <c r="F68" s="27">
        <v>45.143000000000001</v>
      </c>
      <c r="G68" s="48">
        <f t="shared" si="15"/>
        <v>180.572</v>
      </c>
      <c r="H68" s="29">
        <v>4</v>
      </c>
      <c r="I68" s="30">
        <v>80</v>
      </c>
      <c r="J68" s="31"/>
      <c r="K68" s="31"/>
      <c r="L68" s="45">
        <v>0</v>
      </c>
      <c r="M68" s="34">
        <v>80</v>
      </c>
      <c r="N68" s="35"/>
      <c r="O68" s="36"/>
      <c r="P68" s="37">
        <f t="shared" si="16"/>
        <v>80</v>
      </c>
    </row>
    <row r="69" spans="1:16" ht="28.5">
      <c r="A69" s="22">
        <v>67</v>
      </c>
      <c r="B69" s="39" t="s">
        <v>111</v>
      </c>
      <c r="C69" s="40" t="s">
        <v>20</v>
      </c>
      <c r="D69" s="41" t="s">
        <v>37</v>
      </c>
      <c r="E69" s="26">
        <v>46753</v>
      </c>
      <c r="F69" s="46">
        <v>33.729999999999997</v>
      </c>
      <c r="G69" s="48">
        <f>F69*H69-0.04</f>
        <v>337.25999999999993</v>
      </c>
      <c r="H69" s="29">
        <v>10</v>
      </c>
      <c r="I69" s="30">
        <v>100</v>
      </c>
      <c r="J69" s="31"/>
      <c r="K69" s="32"/>
      <c r="L69" s="45">
        <v>100</v>
      </c>
      <c r="M69" s="34"/>
      <c r="N69" s="35"/>
      <c r="O69" s="36"/>
      <c r="P69" s="37"/>
    </row>
    <row r="70" spans="1:16" ht="28.5">
      <c r="A70" s="22">
        <v>68</v>
      </c>
      <c r="B70" s="39" t="s">
        <v>112</v>
      </c>
      <c r="C70" s="40" t="s">
        <v>20</v>
      </c>
      <c r="D70" s="41" t="s">
        <v>94</v>
      </c>
      <c r="E70" s="26">
        <v>46235</v>
      </c>
      <c r="F70" s="46">
        <v>71.018000000000001</v>
      </c>
      <c r="G70" s="28">
        <f t="shared" ref="G70:G71" si="17">F70*H70-0.01</f>
        <v>355.08000000000004</v>
      </c>
      <c r="H70" s="29">
        <v>5</v>
      </c>
      <c r="I70" s="30">
        <v>25</v>
      </c>
      <c r="J70" s="31"/>
      <c r="K70" s="32"/>
      <c r="L70" s="45">
        <f>5*5</f>
        <v>25</v>
      </c>
      <c r="M70" s="34"/>
      <c r="N70" s="35">
        <v>0</v>
      </c>
      <c r="O70" s="36"/>
      <c r="P70" s="37">
        <f t="shared" ref="P70:P99" si="18">L70+M70+N70</f>
        <v>25</v>
      </c>
    </row>
    <row r="71" spans="1:16" ht="28.5">
      <c r="A71" s="22">
        <v>69</v>
      </c>
      <c r="B71" s="49" t="s">
        <v>113</v>
      </c>
      <c r="C71" s="40" t="s">
        <v>20</v>
      </c>
      <c r="D71" s="41" t="s">
        <v>94</v>
      </c>
      <c r="E71" s="26">
        <v>46235</v>
      </c>
      <c r="F71" s="27">
        <v>71.02</v>
      </c>
      <c r="G71" s="28">
        <f t="shared" si="17"/>
        <v>142.03</v>
      </c>
      <c r="H71" s="29">
        <v>2</v>
      </c>
      <c r="I71" s="30">
        <v>8</v>
      </c>
      <c r="J71" s="31"/>
      <c r="K71" s="32"/>
      <c r="L71" s="45">
        <v>0</v>
      </c>
      <c r="M71" s="34"/>
      <c r="N71" s="35">
        <v>8</v>
      </c>
      <c r="O71" s="36"/>
      <c r="P71" s="37">
        <f t="shared" si="18"/>
        <v>8</v>
      </c>
    </row>
    <row r="72" spans="1:16" ht="21" customHeight="1">
      <c r="A72" s="22">
        <v>70</v>
      </c>
      <c r="B72" s="68" t="s">
        <v>114</v>
      </c>
      <c r="C72" s="69" t="s">
        <v>23</v>
      </c>
      <c r="D72" s="25" t="s">
        <v>115</v>
      </c>
      <c r="E72" s="70">
        <v>46447</v>
      </c>
      <c r="F72" s="64">
        <v>15.13</v>
      </c>
      <c r="G72" s="28">
        <f t="shared" ref="G72:G107" si="19">F72*H72</f>
        <v>75.650000000000006</v>
      </c>
      <c r="H72" s="64">
        <v>5</v>
      </c>
      <c r="I72" s="71"/>
      <c r="J72" s="31"/>
      <c r="K72" s="32"/>
      <c r="L72" s="33">
        <v>0</v>
      </c>
      <c r="M72" s="34">
        <v>2</v>
      </c>
      <c r="N72" s="35">
        <v>3</v>
      </c>
      <c r="O72" s="36"/>
      <c r="P72" s="37">
        <f t="shared" si="18"/>
        <v>5</v>
      </c>
    </row>
    <row r="73" spans="1:16" ht="28.5">
      <c r="A73" s="38">
        <v>71</v>
      </c>
      <c r="B73" s="72" t="s">
        <v>116</v>
      </c>
      <c r="C73" s="69"/>
      <c r="D73" s="73"/>
      <c r="E73" s="70">
        <v>46113</v>
      </c>
      <c r="F73" s="74">
        <v>3234.61</v>
      </c>
      <c r="G73" s="28">
        <f t="shared" si="19"/>
        <v>271707.24</v>
      </c>
      <c r="H73" s="64">
        <v>84</v>
      </c>
      <c r="I73" s="71">
        <v>840</v>
      </c>
      <c r="J73" s="31"/>
      <c r="K73" s="32"/>
      <c r="L73" s="33"/>
      <c r="M73" s="34"/>
      <c r="N73" s="35">
        <v>840</v>
      </c>
      <c r="O73" s="36"/>
      <c r="P73" s="37">
        <f t="shared" si="18"/>
        <v>840</v>
      </c>
    </row>
    <row r="74" spans="1:16" ht="28.5">
      <c r="A74" s="38">
        <v>72</v>
      </c>
      <c r="B74" s="72" t="s">
        <v>117</v>
      </c>
      <c r="C74" s="69" t="s">
        <v>118</v>
      </c>
      <c r="D74" s="73"/>
      <c r="E74" s="70">
        <v>46174</v>
      </c>
      <c r="F74" s="74">
        <v>2.14</v>
      </c>
      <c r="G74" s="28">
        <f t="shared" si="19"/>
        <v>813.2</v>
      </c>
      <c r="H74" s="64">
        <v>380</v>
      </c>
      <c r="I74" s="71"/>
      <c r="J74" s="31"/>
      <c r="K74" s="32"/>
      <c r="L74" s="33"/>
      <c r="M74" s="34"/>
      <c r="N74" s="35">
        <v>380</v>
      </c>
      <c r="O74" s="36"/>
      <c r="P74" s="37">
        <f t="shared" si="18"/>
        <v>380</v>
      </c>
    </row>
    <row r="75" spans="1:16" ht="24">
      <c r="A75" s="22">
        <v>73</v>
      </c>
      <c r="B75" s="75" t="s">
        <v>119</v>
      </c>
      <c r="C75" s="76"/>
      <c r="D75" s="77" t="s">
        <v>120</v>
      </c>
      <c r="E75" s="78"/>
      <c r="F75" s="79">
        <v>72</v>
      </c>
      <c r="G75" s="80">
        <f t="shared" si="19"/>
        <v>4968</v>
      </c>
      <c r="H75" s="81">
        <v>69</v>
      </c>
      <c r="I75" s="82"/>
      <c r="J75" s="31"/>
      <c r="K75" s="32"/>
      <c r="L75" s="33">
        <v>0</v>
      </c>
      <c r="M75" s="34">
        <v>69</v>
      </c>
      <c r="N75" s="35"/>
      <c r="O75" s="36"/>
      <c r="P75" s="37">
        <f t="shared" si="18"/>
        <v>69</v>
      </c>
    </row>
    <row r="76" spans="1:16" ht="14.25">
      <c r="A76" s="22">
        <v>74</v>
      </c>
      <c r="B76" s="83" t="s">
        <v>121</v>
      </c>
      <c r="C76" s="76" t="s">
        <v>20</v>
      </c>
      <c r="D76" s="77" t="s">
        <v>122</v>
      </c>
      <c r="E76" s="78"/>
      <c r="F76" s="79">
        <v>980</v>
      </c>
      <c r="G76" s="80">
        <f t="shared" si="19"/>
        <v>67620</v>
      </c>
      <c r="H76" s="81">
        <v>69</v>
      </c>
      <c r="I76" s="82">
        <v>6900</v>
      </c>
      <c r="J76" s="31"/>
      <c r="K76" s="32"/>
      <c r="L76" s="33">
        <v>5000</v>
      </c>
      <c r="M76" s="34"/>
      <c r="N76" s="35">
        <v>1900</v>
      </c>
      <c r="O76" s="36"/>
      <c r="P76" s="37">
        <f t="shared" si="18"/>
        <v>6900</v>
      </c>
    </row>
    <row r="77" spans="1:16" ht="28.5">
      <c r="A77" s="22">
        <v>75</v>
      </c>
      <c r="B77" s="75" t="s">
        <v>123</v>
      </c>
      <c r="C77" s="76"/>
      <c r="D77" s="84" t="s">
        <v>124</v>
      </c>
      <c r="E77" s="78"/>
      <c r="F77" s="79">
        <v>37</v>
      </c>
      <c r="G77" s="80">
        <f t="shared" si="19"/>
        <v>5698</v>
      </c>
      <c r="H77" s="81">
        <v>154</v>
      </c>
      <c r="I77" s="85"/>
      <c r="J77" s="59"/>
      <c r="K77" s="57"/>
      <c r="L77" s="33">
        <f t="shared" ref="L77:L78" si="20">275-100-50</f>
        <v>125</v>
      </c>
      <c r="M77" s="34">
        <v>9</v>
      </c>
      <c r="N77" s="43">
        <v>20</v>
      </c>
      <c r="O77" s="66"/>
      <c r="P77" s="37">
        <f t="shared" si="18"/>
        <v>154</v>
      </c>
    </row>
    <row r="78" spans="1:16" ht="28.5">
      <c r="A78" s="22">
        <v>76</v>
      </c>
      <c r="B78" s="75" t="s">
        <v>125</v>
      </c>
      <c r="C78" s="76"/>
      <c r="D78" s="84" t="s">
        <v>124</v>
      </c>
      <c r="E78" s="78"/>
      <c r="F78" s="79">
        <v>39</v>
      </c>
      <c r="G78" s="80">
        <f t="shared" si="19"/>
        <v>6006</v>
      </c>
      <c r="H78" s="81">
        <v>154</v>
      </c>
      <c r="I78" s="85"/>
      <c r="J78" s="59"/>
      <c r="K78" s="57"/>
      <c r="L78" s="33">
        <f t="shared" si="20"/>
        <v>125</v>
      </c>
      <c r="M78" s="34">
        <v>9</v>
      </c>
      <c r="N78" s="43">
        <v>20</v>
      </c>
      <c r="O78" s="66"/>
      <c r="P78" s="37">
        <f t="shared" si="18"/>
        <v>154</v>
      </c>
    </row>
    <row r="79" spans="1:16" ht="28.5">
      <c r="A79" s="22">
        <v>77</v>
      </c>
      <c r="B79" s="75" t="s">
        <v>126</v>
      </c>
      <c r="C79" s="76"/>
      <c r="D79" s="84" t="s">
        <v>124</v>
      </c>
      <c r="E79" s="78">
        <v>46235</v>
      </c>
      <c r="F79" s="79">
        <v>37</v>
      </c>
      <c r="G79" s="80">
        <f t="shared" si="19"/>
        <v>1739</v>
      </c>
      <c r="H79" s="81">
        <v>47</v>
      </c>
      <c r="I79" s="85"/>
      <c r="J79" s="59"/>
      <c r="K79" s="57"/>
      <c r="L79" s="33"/>
      <c r="M79" s="34">
        <v>22</v>
      </c>
      <c r="N79" s="43">
        <v>25</v>
      </c>
      <c r="O79" s="66"/>
      <c r="P79" s="37">
        <f t="shared" si="18"/>
        <v>47</v>
      </c>
    </row>
    <row r="80" spans="1:16" ht="28.5">
      <c r="A80" s="22">
        <v>78</v>
      </c>
      <c r="B80" s="75" t="s">
        <v>127</v>
      </c>
      <c r="C80" s="76"/>
      <c r="D80" s="84" t="s">
        <v>128</v>
      </c>
      <c r="E80" s="86">
        <v>46327</v>
      </c>
      <c r="F80" s="79">
        <v>85</v>
      </c>
      <c r="G80" s="80">
        <f t="shared" si="19"/>
        <v>8160</v>
      </c>
      <c r="H80" s="81">
        <v>96</v>
      </c>
      <c r="I80" s="85"/>
      <c r="J80" s="59"/>
      <c r="K80" s="57"/>
      <c r="L80" s="33"/>
      <c r="M80" s="34">
        <v>46</v>
      </c>
      <c r="N80" s="43">
        <v>50</v>
      </c>
      <c r="O80" s="66"/>
      <c r="P80" s="37">
        <f t="shared" si="18"/>
        <v>96</v>
      </c>
    </row>
    <row r="81" spans="1:16" ht="28.5">
      <c r="A81" s="22">
        <v>79</v>
      </c>
      <c r="B81" s="75" t="s">
        <v>129</v>
      </c>
      <c r="C81" s="76"/>
      <c r="D81" s="84" t="s">
        <v>130</v>
      </c>
      <c r="E81" s="78"/>
      <c r="F81" s="79">
        <v>40</v>
      </c>
      <c r="G81" s="80">
        <f t="shared" si="19"/>
        <v>18320</v>
      </c>
      <c r="H81" s="81">
        <v>458</v>
      </c>
      <c r="I81" s="85"/>
      <c r="J81" s="59"/>
      <c r="K81" s="57"/>
      <c r="L81" s="33">
        <f>480-80</f>
        <v>400</v>
      </c>
      <c r="M81" s="34">
        <v>22</v>
      </c>
      <c r="N81" s="43">
        <v>36</v>
      </c>
      <c r="O81" s="66"/>
      <c r="P81" s="37">
        <f t="shared" si="18"/>
        <v>458</v>
      </c>
    </row>
    <row r="82" spans="1:16" ht="28.5">
      <c r="A82" s="22">
        <v>80</v>
      </c>
      <c r="B82" s="75" t="s">
        <v>131</v>
      </c>
      <c r="C82" s="76"/>
      <c r="D82" s="87"/>
      <c r="E82" s="78"/>
      <c r="F82" s="81">
        <v>2.8</v>
      </c>
      <c r="G82" s="80">
        <f t="shared" si="19"/>
        <v>770</v>
      </c>
      <c r="H82" s="81">
        <v>275</v>
      </c>
      <c r="I82" s="85"/>
      <c r="J82" s="59"/>
      <c r="K82" s="57"/>
      <c r="L82" s="33"/>
      <c r="M82" s="34"/>
      <c r="N82" s="43">
        <v>275</v>
      </c>
      <c r="O82" s="66"/>
      <c r="P82" s="37">
        <f t="shared" si="18"/>
        <v>275</v>
      </c>
    </row>
    <row r="83" spans="1:16" ht="28.5">
      <c r="A83" s="38">
        <v>81</v>
      </c>
      <c r="B83" s="75" t="s">
        <v>132</v>
      </c>
      <c r="C83" s="76"/>
      <c r="D83" s="87"/>
      <c r="E83" s="78"/>
      <c r="F83" s="81">
        <v>16.03</v>
      </c>
      <c r="G83" s="80">
        <f t="shared" si="19"/>
        <v>1603</v>
      </c>
      <c r="H83" s="81">
        <v>100</v>
      </c>
      <c r="I83" s="85"/>
      <c r="J83" s="59"/>
      <c r="K83" s="57"/>
      <c r="L83" s="33"/>
      <c r="M83" s="34">
        <v>100</v>
      </c>
      <c r="N83" s="43"/>
      <c r="O83" s="66"/>
      <c r="P83" s="37">
        <f t="shared" si="18"/>
        <v>100</v>
      </c>
    </row>
    <row r="84" spans="1:16" ht="42.75">
      <c r="A84" s="22">
        <v>82</v>
      </c>
      <c r="B84" s="75" t="s">
        <v>133</v>
      </c>
      <c r="C84" s="76"/>
      <c r="D84" s="84" t="s">
        <v>134</v>
      </c>
      <c r="E84" s="78"/>
      <c r="F84" s="81">
        <v>87</v>
      </c>
      <c r="G84" s="80">
        <f t="shared" si="19"/>
        <v>70035</v>
      </c>
      <c r="H84" s="81">
        <v>805</v>
      </c>
      <c r="I84" s="85"/>
      <c r="J84" s="59"/>
      <c r="K84" s="57"/>
      <c r="L84" s="33"/>
      <c r="M84" s="34">
        <v>805</v>
      </c>
      <c r="N84" s="43"/>
      <c r="O84" s="66"/>
      <c r="P84" s="37">
        <f t="shared" si="18"/>
        <v>805</v>
      </c>
    </row>
    <row r="85" spans="1:16" ht="57">
      <c r="A85" s="22">
        <v>83</v>
      </c>
      <c r="B85" s="75" t="s">
        <v>135</v>
      </c>
      <c r="C85" s="76" t="s">
        <v>118</v>
      </c>
      <c r="D85" s="87"/>
      <c r="E85" s="78">
        <v>46357</v>
      </c>
      <c r="F85" s="81">
        <v>2.8</v>
      </c>
      <c r="G85" s="80">
        <f t="shared" si="19"/>
        <v>1400</v>
      </c>
      <c r="H85" s="81">
        <v>500</v>
      </c>
      <c r="I85" s="85"/>
      <c r="J85" s="59"/>
      <c r="K85" s="57"/>
      <c r="L85" s="33">
        <f>10*50</f>
        <v>500</v>
      </c>
      <c r="M85" s="34"/>
      <c r="N85" s="43"/>
      <c r="O85" s="66"/>
      <c r="P85" s="37">
        <f t="shared" si="18"/>
        <v>500</v>
      </c>
    </row>
    <row r="86" spans="1:16" ht="28.5">
      <c r="A86" s="22">
        <v>84</v>
      </c>
      <c r="B86" s="88" t="s">
        <v>136</v>
      </c>
      <c r="C86" s="76" t="s">
        <v>118</v>
      </c>
      <c r="D86" s="87"/>
      <c r="E86" s="78">
        <v>46327</v>
      </c>
      <c r="F86" s="81">
        <v>1.55</v>
      </c>
      <c r="G86" s="80">
        <f t="shared" si="19"/>
        <v>1311.3</v>
      </c>
      <c r="H86" s="81">
        <v>846</v>
      </c>
      <c r="I86" s="85"/>
      <c r="J86" s="59"/>
      <c r="K86" s="57"/>
      <c r="L86" s="33">
        <v>0</v>
      </c>
      <c r="M86" s="34">
        <v>846</v>
      </c>
      <c r="N86" s="43"/>
      <c r="O86" s="36"/>
      <c r="P86" s="37">
        <f t="shared" si="18"/>
        <v>846</v>
      </c>
    </row>
    <row r="87" spans="1:16" ht="28.5">
      <c r="A87" s="22">
        <v>85</v>
      </c>
      <c r="B87" s="75" t="s">
        <v>137</v>
      </c>
      <c r="C87" s="76" t="s">
        <v>118</v>
      </c>
      <c r="D87" s="87"/>
      <c r="E87" s="78">
        <v>46023</v>
      </c>
      <c r="F87" s="81">
        <v>15.94</v>
      </c>
      <c r="G87" s="89">
        <f t="shared" si="19"/>
        <v>302.86</v>
      </c>
      <c r="H87" s="81">
        <v>19</v>
      </c>
      <c r="I87" s="85"/>
      <c r="J87" s="59"/>
      <c r="K87" s="57"/>
      <c r="L87" s="33">
        <v>0</v>
      </c>
      <c r="M87" s="34">
        <v>19</v>
      </c>
      <c r="N87" s="43"/>
      <c r="O87" s="36"/>
      <c r="P87" s="37">
        <f t="shared" si="18"/>
        <v>19</v>
      </c>
    </row>
    <row r="88" spans="1:16" ht="14.25">
      <c r="A88" s="22">
        <v>86</v>
      </c>
      <c r="B88" s="90" t="s">
        <v>138</v>
      </c>
      <c r="C88" s="76" t="s">
        <v>118</v>
      </c>
      <c r="D88" s="87"/>
      <c r="E88" s="78">
        <v>46023</v>
      </c>
      <c r="F88" s="81">
        <v>31.55</v>
      </c>
      <c r="G88" s="80">
        <f t="shared" si="19"/>
        <v>63.1</v>
      </c>
      <c r="H88" s="81">
        <v>2</v>
      </c>
      <c r="I88" s="85"/>
      <c r="J88" s="59"/>
      <c r="K88" s="57"/>
      <c r="L88" s="33">
        <v>0</v>
      </c>
      <c r="M88" s="34">
        <v>2</v>
      </c>
      <c r="N88" s="35"/>
      <c r="O88" s="36"/>
      <c r="P88" s="37">
        <f t="shared" si="18"/>
        <v>2</v>
      </c>
    </row>
    <row r="89" spans="1:16" ht="14.25">
      <c r="A89" s="22">
        <v>87</v>
      </c>
      <c r="B89" s="90" t="s">
        <v>139</v>
      </c>
      <c r="C89" s="76" t="s">
        <v>118</v>
      </c>
      <c r="D89" s="87"/>
      <c r="E89" s="78">
        <v>46023</v>
      </c>
      <c r="F89" s="81">
        <v>53.39</v>
      </c>
      <c r="G89" s="80">
        <f t="shared" si="19"/>
        <v>53.39</v>
      </c>
      <c r="H89" s="81">
        <v>1</v>
      </c>
      <c r="I89" s="85"/>
      <c r="J89" s="59"/>
      <c r="K89" s="57"/>
      <c r="L89" s="33">
        <v>0</v>
      </c>
      <c r="M89" s="34">
        <v>1</v>
      </c>
      <c r="N89" s="35"/>
      <c r="O89" s="36"/>
      <c r="P89" s="37">
        <f t="shared" si="18"/>
        <v>1</v>
      </c>
    </row>
    <row r="90" spans="1:16" ht="42.75">
      <c r="A90" s="22">
        <v>88</v>
      </c>
      <c r="B90" s="90" t="s">
        <v>140</v>
      </c>
      <c r="C90" s="76" t="s">
        <v>118</v>
      </c>
      <c r="D90" s="87"/>
      <c r="E90" s="78">
        <v>46357</v>
      </c>
      <c r="F90" s="79">
        <v>5</v>
      </c>
      <c r="G90" s="80">
        <f t="shared" si="19"/>
        <v>115</v>
      </c>
      <c r="H90" s="81">
        <v>23</v>
      </c>
      <c r="I90" s="91"/>
      <c r="J90" s="59"/>
      <c r="K90" s="59"/>
      <c r="L90" s="45">
        <v>0</v>
      </c>
      <c r="M90" s="34">
        <v>13</v>
      </c>
      <c r="N90" s="35">
        <v>10</v>
      </c>
      <c r="O90" s="36"/>
      <c r="P90" s="37">
        <f t="shared" si="18"/>
        <v>23</v>
      </c>
    </row>
    <row r="91" spans="1:16" ht="28.5">
      <c r="A91" s="22">
        <v>89</v>
      </c>
      <c r="B91" s="90" t="s">
        <v>141</v>
      </c>
      <c r="C91" s="92" t="s">
        <v>118</v>
      </c>
      <c r="D91" s="87"/>
      <c r="E91" s="78"/>
      <c r="F91" s="81">
        <v>7.46</v>
      </c>
      <c r="G91" s="80">
        <f t="shared" si="19"/>
        <v>141.74</v>
      </c>
      <c r="H91" s="81">
        <v>19</v>
      </c>
      <c r="I91" s="91"/>
      <c r="J91" s="31"/>
      <c r="K91" s="32"/>
      <c r="L91" s="33">
        <v>17</v>
      </c>
      <c r="M91" s="34"/>
      <c r="N91" s="35">
        <v>2</v>
      </c>
      <c r="O91" s="36"/>
      <c r="P91" s="37">
        <f t="shared" si="18"/>
        <v>19</v>
      </c>
    </row>
    <row r="92" spans="1:16" ht="28.5">
      <c r="A92" s="38">
        <v>90</v>
      </c>
      <c r="B92" s="90" t="s">
        <v>141</v>
      </c>
      <c r="C92" s="92" t="s">
        <v>118</v>
      </c>
      <c r="D92" s="87"/>
      <c r="E92" s="78"/>
      <c r="F92" s="81">
        <v>7.58</v>
      </c>
      <c r="G92" s="80">
        <f t="shared" si="19"/>
        <v>7.58</v>
      </c>
      <c r="H92" s="81">
        <v>1</v>
      </c>
      <c r="I92" s="91"/>
      <c r="J92" s="31"/>
      <c r="K92" s="32"/>
      <c r="L92" s="33">
        <v>0</v>
      </c>
      <c r="M92" s="34">
        <v>0</v>
      </c>
      <c r="N92" s="35">
        <v>1</v>
      </c>
      <c r="O92" s="36"/>
      <c r="P92" s="37">
        <f t="shared" si="18"/>
        <v>1</v>
      </c>
    </row>
    <row r="93" spans="1:16" ht="28.5">
      <c r="A93" s="22">
        <v>91</v>
      </c>
      <c r="B93" s="93" t="s">
        <v>142</v>
      </c>
      <c r="C93" s="92" t="s">
        <v>118</v>
      </c>
      <c r="D93" s="87"/>
      <c r="E93" s="78">
        <v>47939</v>
      </c>
      <c r="F93" s="81">
        <v>8.24</v>
      </c>
      <c r="G93" s="80">
        <f t="shared" si="19"/>
        <v>173.04</v>
      </c>
      <c r="H93" s="81">
        <v>21</v>
      </c>
      <c r="I93" s="91"/>
      <c r="J93" s="31"/>
      <c r="K93" s="32"/>
      <c r="L93" s="33">
        <v>20</v>
      </c>
      <c r="M93" s="34">
        <v>1</v>
      </c>
      <c r="N93" s="35"/>
      <c r="O93" s="36"/>
      <c r="P93" s="37">
        <f t="shared" si="18"/>
        <v>21</v>
      </c>
    </row>
    <row r="94" spans="1:16" ht="42.75">
      <c r="A94" s="22">
        <v>92</v>
      </c>
      <c r="B94" s="94" t="s">
        <v>143</v>
      </c>
      <c r="C94" s="76" t="s">
        <v>118</v>
      </c>
      <c r="D94" s="87"/>
      <c r="E94" s="78">
        <v>64193</v>
      </c>
      <c r="F94" s="81">
        <v>21.2</v>
      </c>
      <c r="G94" s="80">
        <f t="shared" si="19"/>
        <v>2332</v>
      </c>
      <c r="H94" s="81">
        <v>110</v>
      </c>
      <c r="I94" s="91"/>
      <c r="J94" s="31"/>
      <c r="K94" s="32"/>
      <c r="L94" s="45">
        <v>110</v>
      </c>
      <c r="M94" s="34"/>
      <c r="N94" s="43"/>
      <c r="O94" s="36"/>
      <c r="P94" s="37">
        <f t="shared" si="18"/>
        <v>110</v>
      </c>
    </row>
    <row r="95" spans="1:16" ht="28.5">
      <c r="A95" s="38">
        <v>93</v>
      </c>
      <c r="B95" s="94" t="s">
        <v>144</v>
      </c>
      <c r="C95" s="76" t="s">
        <v>118</v>
      </c>
      <c r="D95" s="87"/>
      <c r="E95" s="78">
        <v>46447</v>
      </c>
      <c r="F95" s="81">
        <v>11.15</v>
      </c>
      <c r="G95" s="89">
        <f t="shared" si="19"/>
        <v>735.9</v>
      </c>
      <c r="H95" s="81">
        <v>66</v>
      </c>
      <c r="I95" s="91"/>
      <c r="J95" s="31"/>
      <c r="K95" s="32"/>
      <c r="L95" s="45">
        <f>80-20-10</f>
        <v>50</v>
      </c>
      <c r="M95" s="34">
        <v>9</v>
      </c>
      <c r="N95" s="43">
        <v>7</v>
      </c>
      <c r="O95" s="36"/>
      <c r="P95" s="37">
        <f t="shared" si="18"/>
        <v>66</v>
      </c>
    </row>
    <row r="96" spans="1:16" ht="42.75">
      <c r="A96" s="22">
        <v>94</v>
      </c>
      <c r="B96" s="94" t="s">
        <v>145</v>
      </c>
      <c r="C96" s="76" t="s">
        <v>118</v>
      </c>
      <c r="D96" s="84" t="s">
        <v>122</v>
      </c>
      <c r="E96" s="78"/>
      <c r="F96" s="81">
        <v>3.75</v>
      </c>
      <c r="G96" s="80">
        <f t="shared" si="19"/>
        <v>1312.5</v>
      </c>
      <c r="H96" s="81">
        <v>350</v>
      </c>
      <c r="I96" s="91"/>
      <c r="J96" s="31"/>
      <c r="K96" s="32"/>
      <c r="L96" s="33">
        <v>0</v>
      </c>
      <c r="M96" s="34"/>
      <c r="N96" s="43">
        <v>350</v>
      </c>
      <c r="O96" s="36"/>
      <c r="P96" s="37">
        <f t="shared" si="18"/>
        <v>350</v>
      </c>
    </row>
    <row r="97" spans="1:16" ht="28.5">
      <c r="A97" s="22">
        <v>95</v>
      </c>
      <c r="B97" s="94" t="s">
        <v>146</v>
      </c>
      <c r="C97" s="76" t="s">
        <v>118</v>
      </c>
      <c r="D97" s="84"/>
      <c r="E97" s="78">
        <v>46235</v>
      </c>
      <c r="F97" s="81">
        <v>3.8519999999999999</v>
      </c>
      <c r="G97" s="80">
        <f t="shared" si="19"/>
        <v>6586.92</v>
      </c>
      <c r="H97" s="81">
        <v>1710</v>
      </c>
      <c r="I97" s="91"/>
      <c r="J97" s="31"/>
      <c r="K97" s="32"/>
      <c r="L97" s="33">
        <v>1300</v>
      </c>
      <c r="M97" s="34"/>
      <c r="N97" s="43">
        <v>410</v>
      </c>
      <c r="O97" s="36"/>
      <c r="P97" s="37">
        <f t="shared" si="18"/>
        <v>1710</v>
      </c>
    </row>
    <row r="98" spans="1:16" ht="42.75">
      <c r="A98" s="22">
        <v>96</v>
      </c>
      <c r="B98" s="94" t="s">
        <v>147</v>
      </c>
      <c r="C98" s="76" t="s">
        <v>118</v>
      </c>
      <c r="D98" s="84" t="s">
        <v>148</v>
      </c>
      <c r="E98" s="78"/>
      <c r="F98" s="81">
        <v>0.33</v>
      </c>
      <c r="G98" s="80">
        <f t="shared" si="19"/>
        <v>66</v>
      </c>
      <c r="H98" s="81">
        <v>200</v>
      </c>
      <c r="I98" s="91"/>
      <c r="J98" s="31"/>
      <c r="K98" s="32"/>
      <c r="L98" s="33">
        <v>0</v>
      </c>
      <c r="M98" s="34">
        <v>200</v>
      </c>
      <c r="N98" s="43"/>
      <c r="O98" s="36"/>
      <c r="P98" s="37">
        <f t="shared" si="18"/>
        <v>200</v>
      </c>
    </row>
    <row r="99" spans="1:16" ht="42.75">
      <c r="A99" s="22">
        <v>97</v>
      </c>
      <c r="B99" s="94" t="s">
        <v>149</v>
      </c>
      <c r="C99" s="76" t="s">
        <v>118</v>
      </c>
      <c r="D99" s="84"/>
      <c r="E99" s="78">
        <v>47574</v>
      </c>
      <c r="F99" s="81">
        <v>2.2469999999999999</v>
      </c>
      <c r="G99" s="80">
        <f t="shared" si="19"/>
        <v>6741</v>
      </c>
      <c r="H99" s="81">
        <v>3000</v>
      </c>
      <c r="I99" s="95"/>
      <c r="J99" s="96"/>
      <c r="K99" s="32"/>
      <c r="L99" s="33">
        <v>3000</v>
      </c>
      <c r="M99" s="34"/>
      <c r="N99" s="35"/>
      <c r="O99" s="36"/>
      <c r="P99" s="37">
        <f t="shared" si="18"/>
        <v>3000</v>
      </c>
    </row>
    <row r="100" spans="1:16" ht="28.5">
      <c r="A100" s="22">
        <v>98</v>
      </c>
      <c r="B100" s="94" t="s">
        <v>150</v>
      </c>
      <c r="C100" s="76" t="s">
        <v>20</v>
      </c>
      <c r="D100" s="84" t="s">
        <v>151</v>
      </c>
      <c r="E100" s="78">
        <v>46600</v>
      </c>
      <c r="F100" s="81">
        <v>74.900000000000006</v>
      </c>
      <c r="G100" s="80">
        <f t="shared" si="19"/>
        <v>749</v>
      </c>
      <c r="H100" s="81">
        <v>10</v>
      </c>
      <c r="I100" s="95">
        <v>2000</v>
      </c>
      <c r="J100" s="96"/>
      <c r="K100" s="32"/>
      <c r="L100" s="33">
        <v>2000</v>
      </c>
      <c r="M100" s="34"/>
      <c r="N100" s="35"/>
      <c r="O100" s="36"/>
      <c r="P100" s="37"/>
    </row>
    <row r="101" spans="1:16" ht="14.25">
      <c r="A101" s="22">
        <v>99</v>
      </c>
      <c r="B101" s="94" t="s">
        <v>152</v>
      </c>
      <c r="C101" s="76" t="s">
        <v>118</v>
      </c>
      <c r="D101" s="84"/>
      <c r="E101" s="78"/>
      <c r="F101" s="81">
        <v>57.37</v>
      </c>
      <c r="G101" s="89">
        <f t="shared" si="19"/>
        <v>2294.7999999999997</v>
      </c>
      <c r="H101" s="81">
        <v>40</v>
      </c>
      <c r="I101" s="95"/>
      <c r="J101" s="96"/>
      <c r="K101" s="32"/>
      <c r="L101" s="33">
        <v>40</v>
      </c>
      <c r="M101" s="34">
        <v>1</v>
      </c>
      <c r="N101" s="35"/>
      <c r="O101" s="36"/>
      <c r="P101" s="37">
        <f t="shared" ref="P101:P107" si="21">L101+M101+N101</f>
        <v>41</v>
      </c>
    </row>
    <row r="102" spans="1:16" ht="14.25">
      <c r="A102" s="22">
        <v>100</v>
      </c>
      <c r="B102" s="94" t="s">
        <v>153</v>
      </c>
      <c r="C102" s="76" t="s">
        <v>118</v>
      </c>
      <c r="D102" s="84"/>
      <c r="E102" s="78">
        <v>45992</v>
      </c>
      <c r="F102" s="81">
        <v>0.48</v>
      </c>
      <c r="G102" s="80">
        <f t="shared" si="19"/>
        <v>1276.8</v>
      </c>
      <c r="H102" s="81">
        <v>2660</v>
      </c>
      <c r="I102" s="95"/>
      <c r="J102" s="96"/>
      <c r="K102" s="32"/>
      <c r="L102" s="33">
        <f>150*100-90*100-60*100</f>
        <v>0</v>
      </c>
      <c r="M102" s="34">
        <v>0</v>
      </c>
      <c r="N102" s="35">
        <v>2660</v>
      </c>
      <c r="O102" s="36"/>
      <c r="P102" s="37">
        <f t="shared" si="21"/>
        <v>2660</v>
      </c>
    </row>
    <row r="103" spans="1:16" ht="28.5">
      <c r="A103" s="22">
        <v>101</v>
      </c>
      <c r="B103" s="94" t="s">
        <v>154</v>
      </c>
      <c r="C103" s="76" t="s">
        <v>20</v>
      </c>
      <c r="D103" s="84" t="s">
        <v>122</v>
      </c>
      <c r="E103" s="78">
        <v>45992</v>
      </c>
      <c r="F103" s="79">
        <v>45</v>
      </c>
      <c r="G103" s="80">
        <f t="shared" si="19"/>
        <v>45</v>
      </c>
      <c r="H103" s="81">
        <v>1</v>
      </c>
      <c r="I103" s="85">
        <v>53</v>
      </c>
      <c r="J103" s="31"/>
      <c r="K103" s="32"/>
      <c r="L103" s="33">
        <v>0</v>
      </c>
      <c r="M103" s="34">
        <v>53</v>
      </c>
      <c r="N103" s="35"/>
      <c r="O103" s="36"/>
      <c r="P103" s="37">
        <f t="shared" si="21"/>
        <v>53</v>
      </c>
    </row>
    <row r="104" spans="1:16" ht="28.5">
      <c r="A104" s="38">
        <v>102</v>
      </c>
      <c r="B104" s="94" t="s">
        <v>155</v>
      </c>
      <c r="C104" s="76" t="s">
        <v>20</v>
      </c>
      <c r="D104" s="84" t="s">
        <v>122</v>
      </c>
      <c r="E104" s="78">
        <v>47270</v>
      </c>
      <c r="F104" s="79">
        <v>49</v>
      </c>
      <c r="G104" s="80">
        <f t="shared" si="19"/>
        <v>4655</v>
      </c>
      <c r="H104" s="81">
        <v>95</v>
      </c>
      <c r="I104" s="85">
        <v>9440</v>
      </c>
      <c r="J104" s="31"/>
      <c r="K104" s="32"/>
      <c r="L104" s="33">
        <f>100*100-10*100</f>
        <v>9000</v>
      </c>
      <c r="M104" s="34">
        <v>440</v>
      </c>
      <c r="N104" s="35"/>
      <c r="O104" s="36"/>
      <c r="P104" s="37">
        <f t="shared" si="21"/>
        <v>9440</v>
      </c>
    </row>
    <row r="105" spans="1:16" ht="42.75">
      <c r="A105" s="22">
        <v>103</v>
      </c>
      <c r="B105" s="94" t="s">
        <v>156</v>
      </c>
      <c r="C105" s="76" t="s">
        <v>157</v>
      </c>
      <c r="D105" s="84"/>
      <c r="E105" s="78">
        <v>46388</v>
      </c>
      <c r="F105" s="81">
        <v>9.75</v>
      </c>
      <c r="G105" s="80">
        <f t="shared" si="19"/>
        <v>0</v>
      </c>
      <c r="H105" s="81">
        <v>0</v>
      </c>
      <c r="I105" s="97"/>
      <c r="J105" s="31"/>
      <c r="K105" s="32"/>
      <c r="L105" s="33">
        <v>0</v>
      </c>
      <c r="M105" s="34">
        <v>0</v>
      </c>
      <c r="N105" s="35">
        <v>0</v>
      </c>
      <c r="O105" s="36"/>
      <c r="P105" s="37">
        <f t="shared" si="21"/>
        <v>0</v>
      </c>
    </row>
    <row r="106" spans="1:16" ht="31.5" customHeight="1">
      <c r="A106" s="22">
        <v>104</v>
      </c>
      <c r="B106" s="98" t="s">
        <v>158</v>
      </c>
      <c r="C106" s="76" t="s">
        <v>157</v>
      </c>
      <c r="D106" s="87"/>
      <c r="E106" s="86">
        <v>47331</v>
      </c>
      <c r="F106" s="79">
        <v>6.89</v>
      </c>
      <c r="G106" s="80">
        <f t="shared" si="19"/>
        <v>17914</v>
      </c>
      <c r="H106" s="81">
        <v>2600</v>
      </c>
      <c r="I106" s="91"/>
      <c r="J106" s="59"/>
      <c r="K106" s="57"/>
      <c r="L106" s="33">
        <f>3009-600-609-400</f>
        <v>1400</v>
      </c>
      <c r="M106" s="34">
        <v>600</v>
      </c>
      <c r="N106" s="35">
        <v>600</v>
      </c>
      <c r="O106" s="36"/>
      <c r="P106" s="37">
        <f t="shared" si="21"/>
        <v>2600</v>
      </c>
    </row>
    <row r="107" spans="1:16" ht="31.5" customHeight="1">
      <c r="A107" s="22">
        <v>105</v>
      </c>
      <c r="B107" s="99" t="s">
        <v>159</v>
      </c>
      <c r="C107" s="76" t="s">
        <v>157</v>
      </c>
      <c r="D107" s="87"/>
      <c r="E107" s="86">
        <v>46327</v>
      </c>
      <c r="F107" s="79">
        <v>5.2</v>
      </c>
      <c r="G107" s="80">
        <f t="shared" si="19"/>
        <v>7696</v>
      </c>
      <c r="H107" s="81">
        <v>1480</v>
      </c>
      <c r="I107" s="91"/>
      <c r="J107" s="59"/>
      <c r="K107" s="57"/>
      <c r="L107" s="33">
        <f>4500-1000-500-1000-500-500</f>
        <v>1000</v>
      </c>
      <c r="M107" s="34">
        <v>330</v>
      </c>
      <c r="N107" s="35">
        <v>150</v>
      </c>
      <c r="O107" s="36"/>
      <c r="P107" s="37">
        <f t="shared" si="21"/>
        <v>1480</v>
      </c>
    </row>
    <row r="108" spans="1:16" ht="14.25" hidden="1">
      <c r="A108" s="22"/>
      <c r="B108" s="94"/>
      <c r="C108" s="76"/>
      <c r="D108" s="87"/>
      <c r="E108" s="78"/>
      <c r="F108" s="79"/>
      <c r="G108" s="80"/>
      <c r="H108" s="81"/>
      <c r="I108" s="91"/>
      <c r="J108" s="31"/>
      <c r="K108" s="32"/>
      <c r="L108" s="33"/>
      <c r="M108" s="42"/>
      <c r="N108" s="43"/>
      <c r="O108" s="36"/>
      <c r="P108" s="37"/>
    </row>
    <row r="109" spans="1:16" ht="28.5">
      <c r="A109" s="22">
        <v>106</v>
      </c>
      <c r="B109" s="94" t="s">
        <v>160</v>
      </c>
      <c r="C109" s="76" t="s">
        <v>157</v>
      </c>
      <c r="D109" s="87"/>
      <c r="E109" s="78">
        <v>46357</v>
      </c>
      <c r="F109" s="79">
        <v>1.8855999999999999</v>
      </c>
      <c r="G109" s="80">
        <f t="shared" ref="G109:G146" si="22">F109*H109</f>
        <v>565.67999999999995</v>
      </c>
      <c r="H109" s="81">
        <v>300</v>
      </c>
      <c r="I109" s="91"/>
      <c r="J109" s="31"/>
      <c r="K109" s="32"/>
      <c r="L109" s="33">
        <f>6*50</f>
        <v>300</v>
      </c>
      <c r="M109" s="42">
        <v>0</v>
      </c>
      <c r="N109" s="43">
        <v>0</v>
      </c>
      <c r="O109" s="36"/>
      <c r="P109" s="37">
        <f t="shared" ref="P109:P125" si="23">L109+M109+N109</f>
        <v>300</v>
      </c>
    </row>
    <row r="110" spans="1:16" ht="14.25">
      <c r="A110" s="22">
        <v>107</v>
      </c>
      <c r="B110" s="94" t="s">
        <v>161</v>
      </c>
      <c r="C110" s="76" t="s">
        <v>118</v>
      </c>
      <c r="D110" s="87"/>
      <c r="E110" s="78">
        <v>46023</v>
      </c>
      <c r="F110" s="80">
        <v>1.1000000000000001</v>
      </c>
      <c r="G110" s="80">
        <f t="shared" si="22"/>
        <v>1586.2</v>
      </c>
      <c r="H110" s="81">
        <v>1442</v>
      </c>
      <c r="I110" s="91"/>
      <c r="J110" s="31"/>
      <c r="K110" s="32"/>
      <c r="L110" s="33">
        <v>0</v>
      </c>
      <c r="M110" s="42">
        <v>942</v>
      </c>
      <c r="N110" s="43">
        <v>500</v>
      </c>
      <c r="O110" s="36"/>
      <c r="P110" s="37">
        <f t="shared" si="23"/>
        <v>1442</v>
      </c>
    </row>
    <row r="111" spans="1:16" ht="28.5">
      <c r="A111" s="22">
        <v>108</v>
      </c>
      <c r="B111" s="100" t="s">
        <v>162</v>
      </c>
      <c r="C111" s="76" t="s">
        <v>118</v>
      </c>
      <c r="D111" s="87"/>
      <c r="E111" s="78">
        <v>46419</v>
      </c>
      <c r="F111" s="79">
        <v>79</v>
      </c>
      <c r="G111" s="80">
        <f t="shared" si="22"/>
        <v>6952</v>
      </c>
      <c r="H111" s="81">
        <v>88</v>
      </c>
      <c r="I111" s="91"/>
      <c r="J111" s="31"/>
      <c r="K111" s="31"/>
      <c r="L111" s="33">
        <v>0</v>
      </c>
      <c r="M111" s="34">
        <v>88</v>
      </c>
      <c r="N111" s="35"/>
      <c r="O111" s="36"/>
      <c r="P111" s="37">
        <f t="shared" si="23"/>
        <v>88</v>
      </c>
    </row>
    <row r="112" spans="1:16" ht="28.5">
      <c r="A112" s="22">
        <v>109</v>
      </c>
      <c r="B112" s="94" t="s">
        <v>163</v>
      </c>
      <c r="C112" s="76" t="s">
        <v>118</v>
      </c>
      <c r="D112" s="87"/>
      <c r="E112" s="78"/>
      <c r="F112" s="79">
        <v>1</v>
      </c>
      <c r="G112" s="80">
        <f t="shared" si="22"/>
        <v>0</v>
      </c>
      <c r="H112" s="81">
        <v>0</v>
      </c>
      <c r="I112" s="85"/>
      <c r="J112" s="96"/>
      <c r="K112" s="32"/>
      <c r="L112" s="45">
        <v>0</v>
      </c>
      <c r="M112" s="34">
        <v>0</v>
      </c>
      <c r="N112" s="43"/>
      <c r="O112" s="36"/>
      <c r="P112" s="37">
        <f t="shared" si="23"/>
        <v>0</v>
      </c>
    </row>
    <row r="113" spans="1:16" ht="14.25">
      <c r="A113" s="38">
        <v>110</v>
      </c>
      <c r="B113" s="94" t="s">
        <v>164</v>
      </c>
      <c r="C113" s="76" t="s">
        <v>118</v>
      </c>
      <c r="D113" s="87"/>
      <c r="E113" s="78">
        <v>47300</v>
      </c>
      <c r="F113" s="81">
        <v>3.1030000000000002</v>
      </c>
      <c r="G113" s="80">
        <f t="shared" si="22"/>
        <v>12474.060000000001</v>
      </c>
      <c r="H113" s="81">
        <v>4020</v>
      </c>
      <c r="I113" s="85"/>
      <c r="J113" s="96"/>
      <c r="K113" s="32"/>
      <c r="L113" s="45">
        <v>0</v>
      </c>
      <c r="M113" s="34"/>
      <c r="N113" s="43">
        <v>3930</v>
      </c>
      <c r="O113" s="36"/>
      <c r="P113" s="37">
        <f t="shared" si="23"/>
        <v>3930</v>
      </c>
    </row>
    <row r="114" spans="1:16" ht="28.5">
      <c r="A114" s="38">
        <v>111</v>
      </c>
      <c r="B114" s="94" t="s">
        <v>165</v>
      </c>
      <c r="C114" s="76" t="s">
        <v>118</v>
      </c>
      <c r="D114" s="87"/>
      <c r="E114" s="78">
        <v>47515</v>
      </c>
      <c r="F114" s="81">
        <v>3.5310000000000001</v>
      </c>
      <c r="G114" s="80">
        <f t="shared" si="22"/>
        <v>176.55</v>
      </c>
      <c r="H114" s="81">
        <v>50</v>
      </c>
      <c r="I114" s="85"/>
      <c r="J114" s="96"/>
      <c r="K114" s="32"/>
      <c r="L114" s="45">
        <v>50</v>
      </c>
      <c r="M114" s="34"/>
      <c r="N114" s="43"/>
      <c r="O114" s="36"/>
      <c r="P114" s="37">
        <f t="shared" si="23"/>
        <v>50</v>
      </c>
    </row>
    <row r="115" spans="1:16" ht="28.5">
      <c r="A115" s="38">
        <v>112</v>
      </c>
      <c r="B115" s="94" t="s">
        <v>166</v>
      </c>
      <c r="C115" s="76" t="s">
        <v>118</v>
      </c>
      <c r="D115" s="87"/>
      <c r="E115" s="78">
        <v>46296</v>
      </c>
      <c r="F115" s="81">
        <v>0.89</v>
      </c>
      <c r="G115" s="80">
        <f t="shared" si="22"/>
        <v>2132.44</v>
      </c>
      <c r="H115" s="81">
        <v>2396</v>
      </c>
      <c r="I115" s="85"/>
      <c r="J115" s="96"/>
      <c r="K115" s="32"/>
      <c r="L115" s="45">
        <f>2500</f>
        <v>2500</v>
      </c>
      <c r="M115" s="34"/>
      <c r="N115" s="43">
        <v>0</v>
      </c>
      <c r="O115" s="36"/>
      <c r="P115" s="37">
        <f t="shared" si="23"/>
        <v>2500</v>
      </c>
    </row>
    <row r="116" spans="1:16" ht="28.5">
      <c r="A116" s="22">
        <v>113</v>
      </c>
      <c r="B116" s="94" t="s">
        <v>167</v>
      </c>
      <c r="C116" s="76" t="s">
        <v>118</v>
      </c>
      <c r="D116" s="87"/>
      <c r="E116" s="78">
        <v>47453</v>
      </c>
      <c r="F116" s="81">
        <v>1.498</v>
      </c>
      <c r="G116" s="80">
        <f t="shared" si="22"/>
        <v>4194.3999999999996</v>
      </c>
      <c r="H116" s="81">
        <v>2800</v>
      </c>
      <c r="I116" s="85"/>
      <c r="J116" s="96"/>
      <c r="K116" s="32"/>
      <c r="L116" s="33">
        <f>3000-500</f>
        <v>2500</v>
      </c>
      <c r="M116" s="34">
        <v>300</v>
      </c>
      <c r="N116" s="35"/>
      <c r="O116" s="36"/>
      <c r="P116" s="37">
        <f t="shared" si="23"/>
        <v>2800</v>
      </c>
    </row>
    <row r="117" spans="1:16" ht="14.25">
      <c r="A117" s="22">
        <v>114</v>
      </c>
      <c r="B117" s="94" t="s">
        <v>168</v>
      </c>
      <c r="C117" s="76" t="s">
        <v>118</v>
      </c>
      <c r="D117" s="87"/>
      <c r="E117" s="78">
        <v>46874</v>
      </c>
      <c r="F117" s="81">
        <v>1.65</v>
      </c>
      <c r="G117" s="89">
        <f t="shared" si="22"/>
        <v>346.5</v>
      </c>
      <c r="H117" s="81">
        <v>210</v>
      </c>
      <c r="I117" s="85"/>
      <c r="J117" s="96"/>
      <c r="K117" s="32"/>
      <c r="L117" s="33">
        <f>2400-1200-1200</f>
        <v>0</v>
      </c>
      <c r="M117" s="34">
        <v>0</v>
      </c>
      <c r="N117" s="35">
        <v>205</v>
      </c>
      <c r="O117" s="36"/>
      <c r="P117" s="37">
        <f t="shared" si="23"/>
        <v>205</v>
      </c>
    </row>
    <row r="118" spans="1:16" ht="28.5">
      <c r="A118" s="22">
        <v>115</v>
      </c>
      <c r="B118" s="94" t="s">
        <v>169</v>
      </c>
      <c r="C118" s="76" t="s">
        <v>118</v>
      </c>
      <c r="D118" s="87"/>
      <c r="E118" s="78"/>
      <c r="F118" s="81">
        <v>11.984</v>
      </c>
      <c r="G118" s="80">
        <f t="shared" si="22"/>
        <v>59.92</v>
      </c>
      <c r="H118" s="81">
        <v>5</v>
      </c>
      <c r="I118" s="91"/>
      <c r="J118" s="31"/>
      <c r="K118" s="32"/>
      <c r="L118" s="33"/>
      <c r="M118" s="34">
        <v>0</v>
      </c>
      <c r="N118" s="35">
        <v>5</v>
      </c>
      <c r="O118" s="36"/>
      <c r="P118" s="37">
        <f t="shared" si="23"/>
        <v>5</v>
      </c>
    </row>
    <row r="119" spans="1:16" ht="28.5">
      <c r="A119" s="38">
        <v>116</v>
      </c>
      <c r="B119" s="94" t="s">
        <v>170</v>
      </c>
      <c r="C119" s="76" t="s">
        <v>118</v>
      </c>
      <c r="D119" s="84"/>
      <c r="E119" s="78"/>
      <c r="F119" s="79">
        <v>6.3558000000000003</v>
      </c>
      <c r="G119" s="80">
        <f t="shared" si="22"/>
        <v>5701.1526000000003</v>
      </c>
      <c r="H119" s="81">
        <v>897</v>
      </c>
      <c r="I119" s="85"/>
      <c r="J119" s="31"/>
      <c r="K119" s="32"/>
      <c r="L119" s="33">
        <v>50</v>
      </c>
      <c r="M119" s="34">
        <v>847</v>
      </c>
      <c r="N119" s="35"/>
      <c r="O119" s="36"/>
      <c r="P119" s="37">
        <f t="shared" si="23"/>
        <v>897</v>
      </c>
    </row>
    <row r="120" spans="1:16" ht="42.75">
      <c r="A120" s="38">
        <v>117</v>
      </c>
      <c r="B120" s="94" t="s">
        <v>171</v>
      </c>
      <c r="C120" s="76" t="s">
        <v>118</v>
      </c>
      <c r="D120" s="84" t="s">
        <v>122</v>
      </c>
      <c r="E120" s="78"/>
      <c r="F120" s="79">
        <v>500</v>
      </c>
      <c r="G120" s="80">
        <f t="shared" si="22"/>
        <v>3500</v>
      </c>
      <c r="H120" s="81">
        <v>7</v>
      </c>
      <c r="I120" s="85">
        <v>652</v>
      </c>
      <c r="J120" s="31"/>
      <c r="K120" s="32"/>
      <c r="L120" s="33">
        <v>0</v>
      </c>
      <c r="M120" s="34">
        <v>652</v>
      </c>
      <c r="N120" s="35"/>
      <c r="O120" s="36"/>
      <c r="P120" s="37">
        <f t="shared" si="23"/>
        <v>652</v>
      </c>
    </row>
    <row r="121" spans="1:16" ht="28.5">
      <c r="A121" s="22">
        <v>118</v>
      </c>
      <c r="B121" s="94" t="s">
        <v>172</v>
      </c>
      <c r="C121" s="76"/>
      <c r="D121" s="84"/>
      <c r="E121" s="78"/>
      <c r="F121" s="79">
        <v>5.8315000000000001</v>
      </c>
      <c r="G121" s="80">
        <f t="shared" si="22"/>
        <v>12304.465</v>
      </c>
      <c r="H121" s="81">
        <v>2110</v>
      </c>
      <c r="I121" s="85"/>
      <c r="J121" s="31"/>
      <c r="K121" s="32"/>
      <c r="L121" s="33">
        <f>2200-1000</f>
        <v>1200</v>
      </c>
      <c r="M121" s="34"/>
      <c r="N121" s="35">
        <v>910</v>
      </c>
      <c r="O121" s="36"/>
      <c r="P121" s="37">
        <f t="shared" si="23"/>
        <v>2110</v>
      </c>
    </row>
    <row r="122" spans="1:16" ht="28.5">
      <c r="A122" s="22">
        <v>119</v>
      </c>
      <c r="B122" s="94" t="s">
        <v>173</v>
      </c>
      <c r="C122" s="76"/>
      <c r="D122" s="84"/>
      <c r="E122" s="78"/>
      <c r="F122" s="79">
        <v>3.21</v>
      </c>
      <c r="G122" s="80">
        <f t="shared" si="22"/>
        <v>22470</v>
      </c>
      <c r="H122" s="81">
        <v>7000</v>
      </c>
      <c r="I122" s="85"/>
      <c r="J122" s="31"/>
      <c r="K122" s="32"/>
      <c r="L122" s="33">
        <f>7000-500</f>
        <v>6500</v>
      </c>
      <c r="M122" s="34">
        <v>500</v>
      </c>
      <c r="N122" s="35"/>
      <c r="O122" s="36"/>
      <c r="P122" s="37">
        <f t="shared" si="23"/>
        <v>7000</v>
      </c>
    </row>
    <row r="123" spans="1:16" ht="42.75">
      <c r="A123" s="22">
        <v>120</v>
      </c>
      <c r="B123" s="94" t="s">
        <v>174</v>
      </c>
      <c r="C123" s="76" t="s">
        <v>118</v>
      </c>
      <c r="D123" s="84" t="s">
        <v>122</v>
      </c>
      <c r="E123" s="78"/>
      <c r="F123" s="81">
        <v>3.1410999999999998</v>
      </c>
      <c r="G123" s="80">
        <f t="shared" si="22"/>
        <v>628.21999999999991</v>
      </c>
      <c r="H123" s="81">
        <v>200</v>
      </c>
      <c r="I123" s="91"/>
      <c r="J123" s="32"/>
      <c r="K123" s="31"/>
      <c r="L123" s="45">
        <v>0</v>
      </c>
      <c r="M123" s="34">
        <v>0</v>
      </c>
      <c r="N123" s="35">
        <v>200</v>
      </c>
      <c r="O123" s="36"/>
      <c r="P123" s="37">
        <f t="shared" si="23"/>
        <v>200</v>
      </c>
    </row>
    <row r="124" spans="1:16" ht="28.5">
      <c r="A124" s="22">
        <v>121</v>
      </c>
      <c r="B124" s="94" t="s">
        <v>175</v>
      </c>
      <c r="C124" s="76" t="s">
        <v>118</v>
      </c>
      <c r="D124" s="87"/>
      <c r="E124" s="78"/>
      <c r="F124" s="81">
        <v>0.37</v>
      </c>
      <c r="G124" s="80">
        <f t="shared" si="22"/>
        <v>1748.25</v>
      </c>
      <c r="H124" s="81">
        <v>4725</v>
      </c>
      <c r="I124" s="91"/>
      <c r="J124" s="32"/>
      <c r="K124" s="31"/>
      <c r="L124" s="45">
        <f>5000-500-1000</f>
        <v>3500</v>
      </c>
      <c r="M124" s="34">
        <v>800</v>
      </c>
      <c r="N124" s="35">
        <v>425</v>
      </c>
      <c r="O124" s="36"/>
      <c r="P124" s="37">
        <f t="shared" si="23"/>
        <v>4725</v>
      </c>
    </row>
    <row r="125" spans="1:16" ht="14.25">
      <c r="A125" s="22">
        <v>122</v>
      </c>
      <c r="B125" s="94" t="s">
        <v>176</v>
      </c>
      <c r="C125" s="76" t="s">
        <v>118</v>
      </c>
      <c r="D125" s="87"/>
      <c r="E125" s="86">
        <v>45809</v>
      </c>
      <c r="F125" s="81">
        <v>9478.06</v>
      </c>
      <c r="G125" s="80">
        <f t="shared" si="22"/>
        <v>0</v>
      </c>
      <c r="H125" s="81">
        <v>0</v>
      </c>
      <c r="I125" s="85">
        <v>0</v>
      </c>
      <c r="J125" s="31"/>
      <c r="K125" s="32"/>
      <c r="L125" s="101"/>
      <c r="M125" s="34"/>
      <c r="N125" s="43">
        <v>0</v>
      </c>
      <c r="O125" s="36"/>
      <c r="P125" s="37">
        <f t="shared" si="23"/>
        <v>0</v>
      </c>
    </row>
    <row r="126" spans="1:16" ht="42.75">
      <c r="A126" s="22">
        <v>123</v>
      </c>
      <c r="B126" s="102" t="s">
        <v>177</v>
      </c>
      <c r="C126" s="76" t="s">
        <v>118</v>
      </c>
      <c r="D126" s="87"/>
      <c r="E126" s="86"/>
      <c r="F126" s="81">
        <v>2086.5</v>
      </c>
      <c r="G126" s="80">
        <f t="shared" si="22"/>
        <v>4173</v>
      </c>
      <c r="H126" s="81">
        <v>2</v>
      </c>
      <c r="I126" s="85"/>
      <c r="J126" s="31"/>
      <c r="K126" s="32"/>
      <c r="L126" s="33">
        <v>0</v>
      </c>
      <c r="M126" s="34"/>
      <c r="N126" s="43">
        <v>2</v>
      </c>
      <c r="O126" s="36"/>
      <c r="P126" s="37"/>
    </row>
    <row r="127" spans="1:16" ht="42.75">
      <c r="A127" s="22">
        <v>124</v>
      </c>
      <c r="B127" s="94" t="s">
        <v>178</v>
      </c>
      <c r="C127" s="76" t="s">
        <v>118</v>
      </c>
      <c r="D127" s="87"/>
      <c r="E127" s="86">
        <v>45809</v>
      </c>
      <c r="F127" s="81">
        <v>7755.56</v>
      </c>
      <c r="G127" s="80">
        <f t="shared" si="22"/>
        <v>0</v>
      </c>
      <c r="H127" s="81">
        <v>0</v>
      </c>
      <c r="I127" s="85">
        <v>0</v>
      </c>
      <c r="J127" s="31"/>
      <c r="K127" s="32"/>
      <c r="L127" s="101"/>
      <c r="M127" s="34"/>
      <c r="N127" s="43">
        <v>0</v>
      </c>
      <c r="O127" s="36"/>
      <c r="P127" s="37">
        <f t="shared" ref="P127:P130" si="24">L127+M127+N127</f>
        <v>0</v>
      </c>
    </row>
    <row r="128" spans="1:16" ht="28.5">
      <c r="A128" s="22">
        <v>125</v>
      </c>
      <c r="B128" s="94" t="s">
        <v>179</v>
      </c>
      <c r="C128" s="76" t="s">
        <v>118</v>
      </c>
      <c r="D128" s="87"/>
      <c r="E128" s="86">
        <v>45748</v>
      </c>
      <c r="F128" s="79">
        <v>1701.3</v>
      </c>
      <c r="G128" s="80">
        <f t="shared" si="22"/>
        <v>3402.6</v>
      </c>
      <c r="H128" s="81">
        <v>2</v>
      </c>
      <c r="I128" s="91"/>
      <c r="J128" s="31"/>
      <c r="K128" s="32"/>
      <c r="L128" s="33">
        <v>0</v>
      </c>
      <c r="M128" s="34"/>
      <c r="N128" s="43">
        <v>2</v>
      </c>
      <c r="O128" s="36"/>
      <c r="P128" s="37">
        <f t="shared" si="24"/>
        <v>2</v>
      </c>
    </row>
    <row r="129" spans="1:16" ht="14.25">
      <c r="A129" s="38">
        <v>126</v>
      </c>
      <c r="B129" s="94" t="s">
        <v>180</v>
      </c>
      <c r="C129" s="76" t="s">
        <v>118</v>
      </c>
      <c r="D129" s="87"/>
      <c r="E129" s="78">
        <v>45870</v>
      </c>
      <c r="F129" s="79">
        <v>2314.41</v>
      </c>
      <c r="G129" s="80">
        <f t="shared" si="22"/>
        <v>2314.41</v>
      </c>
      <c r="H129" s="81">
        <v>1</v>
      </c>
      <c r="I129" s="91"/>
      <c r="J129" s="31"/>
      <c r="K129" s="32"/>
      <c r="L129" s="33">
        <v>0</v>
      </c>
      <c r="M129" s="42"/>
      <c r="N129" s="43">
        <v>1</v>
      </c>
      <c r="O129" s="36"/>
      <c r="P129" s="37">
        <f t="shared" si="24"/>
        <v>1</v>
      </c>
    </row>
    <row r="130" spans="1:16" ht="14.25">
      <c r="A130" s="22">
        <v>127</v>
      </c>
      <c r="B130" s="94" t="s">
        <v>180</v>
      </c>
      <c r="C130" s="76" t="s">
        <v>118</v>
      </c>
      <c r="D130" s="87"/>
      <c r="E130" s="78">
        <v>46174</v>
      </c>
      <c r="F130" s="79">
        <v>2887.93</v>
      </c>
      <c r="G130" s="80">
        <f t="shared" si="22"/>
        <v>8663.7899999999991</v>
      </c>
      <c r="H130" s="81">
        <v>3</v>
      </c>
      <c r="I130" s="91"/>
      <c r="J130" s="32"/>
      <c r="K130" s="32"/>
      <c r="L130" s="33">
        <v>0</v>
      </c>
      <c r="M130" s="34"/>
      <c r="N130" s="43">
        <v>3</v>
      </c>
      <c r="O130" s="36"/>
      <c r="P130" s="37">
        <f t="shared" si="24"/>
        <v>3</v>
      </c>
    </row>
    <row r="131" spans="1:16" ht="14.25">
      <c r="A131" s="22">
        <v>128</v>
      </c>
      <c r="B131" s="94" t="s">
        <v>180</v>
      </c>
      <c r="C131" s="76" t="s">
        <v>118</v>
      </c>
      <c r="D131" s="87"/>
      <c r="E131" s="78"/>
      <c r="F131" s="103">
        <v>2699</v>
      </c>
      <c r="G131" s="80">
        <f t="shared" si="22"/>
        <v>2699</v>
      </c>
      <c r="H131" s="81">
        <v>1</v>
      </c>
      <c r="I131" s="91"/>
      <c r="J131" s="32"/>
      <c r="K131" s="32"/>
      <c r="L131" s="33">
        <v>1</v>
      </c>
      <c r="M131" s="34"/>
      <c r="N131" s="43"/>
      <c r="O131" s="36"/>
      <c r="P131" s="37"/>
    </row>
    <row r="132" spans="1:16" ht="14.25">
      <c r="A132" s="22">
        <v>129</v>
      </c>
      <c r="B132" s="94" t="s">
        <v>181</v>
      </c>
      <c r="C132" s="76" t="s">
        <v>118</v>
      </c>
      <c r="D132" s="87"/>
      <c r="E132" s="78">
        <v>46692</v>
      </c>
      <c r="F132" s="103">
        <v>1712</v>
      </c>
      <c r="G132" s="80">
        <f t="shared" si="22"/>
        <v>1712</v>
      </c>
      <c r="H132" s="81">
        <v>1</v>
      </c>
      <c r="I132" s="91"/>
      <c r="J132" s="32"/>
      <c r="K132" s="32"/>
      <c r="L132" s="33">
        <v>0</v>
      </c>
      <c r="M132" s="34"/>
      <c r="N132" s="43">
        <v>1</v>
      </c>
      <c r="O132" s="36"/>
      <c r="P132" s="37">
        <f t="shared" ref="P132:P133" si="25">L132+M132+N132</f>
        <v>1</v>
      </c>
    </row>
    <row r="133" spans="1:16" ht="14.25">
      <c r="A133" s="22">
        <v>130</v>
      </c>
      <c r="B133" s="94" t="s">
        <v>182</v>
      </c>
      <c r="C133" s="76" t="s">
        <v>118</v>
      </c>
      <c r="D133" s="87"/>
      <c r="E133" s="78">
        <v>46327</v>
      </c>
      <c r="F133" s="103">
        <v>2573.35</v>
      </c>
      <c r="G133" s="80">
        <f t="shared" si="22"/>
        <v>2573.35</v>
      </c>
      <c r="H133" s="81">
        <v>1</v>
      </c>
      <c r="I133" s="91"/>
      <c r="J133" s="32"/>
      <c r="K133" s="32"/>
      <c r="L133" s="33">
        <v>0</v>
      </c>
      <c r="M133" s="34"/>
      <c r="N133" s="43">
        <v>1</v>
      </c>
      <c r="O133" s="36"/>
      <c r="P133" s="37">
        <f t="shared" si="25"/>
        <v>1</v>
      </c>
    </row>
    <row r="134" spans="1:16" ht="28.5">
      <c r="A134" s="22">
        <v>131</v>
      </c>
      <c r="B134" s="94" t="s">
        <v>183</v>
      </c>
      <c r="C134" s="76" t="s">
        <v>118</v>
      </c>
      <c r="D134" s="87"/>
      <c r="E134" s="78"/>
      <c r="F134" s="103">
        <v>785.38</v>
      </c>
      <c r="G134" s="80">
        <f t="shared" si="22"/>
        <v>1570.76</v>
      </c>
      <c r="H134" s="81">
        <v>2</v>
      </c>
      <c r="I134" s="91"/>
      <c r="J134" s="32"/>
      <c r="K134" s="32"/>
      <c r="L134" s="33"/>
      <c r="M134" s="34"/>
      <c r="N134" s="43">
        <v>2</v>
      </c>
      <c r="O134" s="36"/>
      <c r="P134" s="37"/>
    </row>
    <row r="135" spans="1:16" ht="14.25">
      <c r="A135" s="22">
        <v>132</v>
      </c>
      <c r="B135" s="94" t="s">
        <v>184</v>
      </c>
      <c r="C135" s="76" t="s">
        <v>118</v>
      </c>
      <c r="D135" s="87"/>
      <c r="E135" s="78"/>
      <c r="F135" s="103">
        <v>454.75</v>
      </c>
      <c r="G135" s="80">
        <f t="shared" si="22"/>
        <v>454.75</v>
      </c>
      <c r="H135" s="81">
        <v>1</v>
      </c>
      <c r="I135" s="91"/>
      <c r="J135" s="32"/>
      <c r="K135" s="32"/>
      <c r="L135" s="33"/>
      <c r="M135" s="34"/>
      <c r="N135" s="43">
        <v>1</v>
      </c>
      <c r="O135" s="36"/>
      <c r="P135" s="37"/>
    </row>
    <row r="136" spans="1:16" ht="14.25">
      <c r="A136" s="22">
        <v>133</v>
      </c>
      <c r="B136" s="94" t="s">
        <v>185</v>
      </c>
      <c r="C136" s="76" t="s">
        <v>118</v>
      </c>
      <c r="D136" s="84" t="s">
        <v>186</v>
      </c>
      <c r="E136" s="78">
        <v>46813</v>
      </c>
      <c r="F136" s="79">
        <v>124</v>
      </c>
      <c r="G136" s="80">
        <f t="shared" si="22"/>
        <v>0</v>
      </c>
      <c r="H136" s="81">
        <v>0</v>
      </c>
      <c r="I136" s="85">
        <v>0</v>
      </c>
      <c r="J136" s="31"/>
      <c r="K136" s="31"/>
      <c r="L136" s="33"/>
      <c r="M136" s="34"/>
      <c r="N136" s="35">
        <v>0</v>
      </c>
      <c r="O136" s="104"/>
      <c r="P136" s="37">
        <f t="shared" ref="P136:P147" si="26">L136+M136+N136</f>
        <v>0</v>
      </c>
    </row>
    <row r="137" spans="1:16" ht="14.25">
      <c r="A137" s="22">
        <v>134</v>
      </c>
      <c r="B137" s="94" t="s">
        <v>187</v>
      </c>
      <c r="C137" s="76" t="s">
        <v>118</v>
      </c>
      <c r="D137" s="84" t="s">
        <v>186</v>
      </c>
      <c r="E137" s="78"/>
      <c r="F137" s="79">
        <v>303</v>
      </c>
      <c r="G137" s="80">
        <f t="shared" si="22"/>
        <v>1515</v>
      </c>
      <c r="H137" s="81">
        <v>5</v>
      </c>
      <c r="I137" s="85">
        <v>4470</v>
      </c>
      <c r="J137" s="31"/>
      <c r="K137" s="31"/>
      <c r="L137" s="33"/>
      <c r="M137" s="34"/>
      <c r="N137" s="35">
        <v>4470</v>
      </c>
      <c r="O137" s="104"/>
      <c r="P137" s="37">
        <f t="shared" si="26"/>
        <v>4470</v>
      </c>
    </row>
    <row r="138" spans="1:16" ht="28.5">
      <c r="A138" s="22">
        <v>135</v>
      </c>
      <c r="B138" s="94" t="s">
        <v>188</v>
      </c>
      <c r="C138" s="76" t="s">
        <v>118</v>
      </c>
      <c r="D138" s="84" t="s">
        <v>189</v>
      </c>
      <c r="E138" s="78">
        <v>46813</v>
      </c>
      <c r="F138" s="79">
        <v>153</v>
      </c>
      <c r="G138" s="80">
        <f t="shared" si="22"/>
        <v>612</v>
      </c>
      <c r="H138" s="81">
        <v>4</v>
      </c>
      <c r="I138" s="85">
        <v>1580</v>
      </c>
      <c r="J138" s="31"/>
      <c r="K138" s="31"/>
      <c r="L138" s="33"/>
      <c r="M138" s="34"/>
      <c r="N138" s="35">
        <v>1580</v>
      </c>
      <c r="O138" s="104"/>
      <c r="P138" s="37">
        <f t="shared" si="26"/>
        <v>1580</v>
      </c>
    </row>
    <row r="139" spans="1:16" ht="28.5">
      <c r="A139" s="22">
        <v>136</v>
      </c>
      <c r="B139" s="94" t="s">
        <v>190</v>
      </c>
      <c r="C139" s="76"/>
      <c r="D139" s="84" t="s">
        <v>189</v>
      </c>
      <c r="E139" s="78"/>
      <c r="F139" s="79">
        <v>297</v>
      </c>
      <c r="G139" s="80">
        <f t="shared" si="22"/>
        <v>594</v>
      </c>
      <c r="H139" s="81">
        <v>2</v>
      </c>
      <c r="I139" s="85">
        <v>870</v>
      </c>
      <c r="J139" s="31"/>
      <c r="K139" s="31"/>
      <c r="L139" s="33"/>
      <c r="M139" s="34"/>
      <c r="N139" s="35">
        <v>870</v>
      </c>
      <c r="O139" s="104"/>
      <c r="P139" s="37">
        <f t="shared" si="26"/>
        <v>870</v>
      </c>
    </row>
    <row r="140" spans="1:16" ht="14.25">
      <c r="A140" s="38">
        <v>137</v>
      </c>
      <c r="B140" s="94" t="s">
        <v>191</v>
      </c>
      <c r="C140" s="76" t="s">
        <v>118</v>
      </c>
      <c r="D140" s="87"/>
      <c r="E140" s="78">
        <v>46204</v>
      </c>
      <c r="F140" s="79">
        <v>172</v>
      </c>
      <c r="G140" s="80">
        <f t="shared" si="22"/>
        <v>860</v>
      </c>
      <c r="H140" s="81">
        <v>5</v>
      </c>
      <c r="I140" s="91"/>
      <c r="J140" s="31"/>
      <c r="K140" s="31"/>
      <c r="L140" s="33">
        <v>5</v>
      </c>
      <c r="M140" s="34"/>
      <c r="N140" s="35"/>
      <c r="O140" s="104"/>
      <c r="P140" s="37">
        <f t="shared" si="26"/>
        <v>5</v>
      </c>
    </row>
    <row r="141" spans="1:16" ht="14.25">
      <c r="A141" s="22">
        <v>138</v>
      </c>
      <c r="B141" s="94" t="s">
        <v>192</v>
      </c>
      <c r="C141" s="76" t="s">
        <v>118</v>
      </c>
      <c r="D141" s="84" t="s">
        <v>193</v>
      </c>
      <c r="E141" s="78">
        <v>46204</v>
      </c>
      <c r="F141" s="79">
        <v>212</v>
      </c>
      <c r="G141" s="80">
        <f t="shared" si="22"/>
        <v>2756</v>
      </c>
      <c r="H141" s="81">
        <v>13</v>
      </c>
      <c r="I141" s="91"/>
      <c r="J141" s="31"/>
      <c r="K141" s="32"/>
      <c r="L141" s="33">
        <v>10</v>
      </c>
      <c r="M141" s="34">
        <v>1</v>
      </c>
      <c r="N141" s="35">
        <v>2</v>
      </c>
      <c r="O141" s="105"/>
      <c r="P141" s="37">
        <f t="shared" si="26"/>
        <v>13</v>
      </c>
    </row>
    <row r="142" spans="1:16" ht="14.25">
      <c r="A142" s="38">
        <v>139</v>
      </c>
      <c r="B142" s="94" t="s">
        <v>194</v>
      </c>
      <c r="C142" s="76" t="s">
        <v>118</v>
      </c>
      <c r="D142" s="84" t="s">
        <v>193</v>
      </c>
      <c r="E142" s="78">
        <v>45992</v>
      </c>
      <c r="F142" s="79">
        <v>212</v>
      </c>
      <c r="G142" s="80">
        <f t="shared" si="22"/>
        <v>1060</v>
      </c>
      <c r="H142" s="81">
        <v>5</v>
      </c>
      <c r="I142" s="91"/>
      <c r="J142" s="31"/>
      <c r="K142" s="32"/>
      <c r="L142" s="33">
        <v>5</v>
      </c>
      <c r="M142" s="34">
        <v>0</v>
      </c>
      <c r="N142" s="35">
        <v>0</v>
      </c>
      <c r="O142" s="105"/>
      <c r="P142" s="37">
        <f t="shared" si="26"/>
        <v>5</v>
      </c>
    </row>
    <row r="143" spans="1:16" ht="14.25">
      <c r="A143" s="22">
        <v>140</v>
      </c>
      <c r="B143" s="100" t="s">
        <v>195</v>
      </c>
      <c r="C143" s="76" t="s">
        <v>118</v>
      </c>
      <c r="D143" s="84" t="s">
        <v>193</v>
      </c>
      <c r="E143" s="78">
        <v>46082</v>
      </c>
      <c r="F143" s="79">
        <v>344</v>
      </c>
      <c r="G143" s="80">
        <f t="shared" si="22"/>
        <v>2064</v>
      </c>
      <c r="H143" s="81">
        <v>6</v>
      </c>
      <c r="I143" s="91"/>
      <c r="J143" s="32"/>
      <c r="K143" s="32"/>
      <c r="L143" s="33">
        <v>0</v>
      </c>
      <c r="M143" s="34">
        <v>6</v>
      </c>
      <c r="N143" s="35">
        <v>0</v>
      </c>
      <c r="O143" s="66"/>
      <c r="P143" s="37">
        <f t="shared" si="26"/>
        <v>6</v>
      </c>
    </row>
    <row r="144" spans="1:16" ht="28.5">
      <c r="A144" s="22">
        <v>141</v>
      </c>
      <c r="B144" s="100" t="s">
        <v>196</v>
      </c>
      <c r="C144" s="76" t="s">
        <v>118</v>
      </c>
      <c r="D144" s="84" t="s">
        <v>193</v>
      </c>
      <c r="E144" s="78">
        <v>46082</v>
      </c>
      <c r="F144" s="79">
        <v>299</v>
      </c>
      <c r="G144" s="80">
        <f t="shared" si="22"/>
        <v>1196</v>
      </c>
      <c r="H144" s="81">
        <v>4</v>
      </c>
      <c r="I144" s="91"/>
      <c r="J144" s="59"/>
      <c r="K144" s="59"/>
      <c r="L144" s="33">
        <v>0</v>
      </c>
      <c r="M144" s="34">
        <v>4</v>
      </c>
      <c r="N144" s="61"/>
      <c r="O144" s="104"/>
      <c r="P144" s="37">
        <f t="shared" si="26"/>
        <v>4</v>
      </c>
    </row>
    <row r="145" spans="1:16" ht="28.5">
      <c r="A145" s="22">
        <v>142</v>
      </c>
      <c r="B145" s="94" t="s">
        <v>197</v>
      </c>
      <c r="C145" s="76" t="s">
        <v>118</v>
      </c>
      <c r="D145" s="87"/>
      <c r="E145" s="78">
        <v>46054</v>
      </c>
      <c r="F145" s="89">
        <v>224</v>
      </c>
      <c r="G145" s="89">
        <f t="shared" si="22"/>
        <v>672</v>
      </c>
      <c r="H145" s="81">
        <v>3</v>
      </c>
      <c r="I145" s="91"/>
      <c r="J145" s="32"/>
      <c r="K145" s="32"/>
      <c r="L145" s="33">
        <f>3-1-2</f>
        <v>0</v>
      </c>
      <c r="M145" s="34">
        <v>1</v>
      </c>
      <c r="N145" s="35">
        <v>2</v>
      </c>
      <c r="O145" s="36"/>
      <c r="P145" s="37">
        <f t="shared" si="26"/>
        <v>3</v>
      </c>
    </row>
    <row r="146" spans="1:16" ht="14.25">
      <c r="A146" s="22">
        <v>143</v>
      </c>
      <c r="B146" s="94" t="s">
        <v>198</v>
      </c>
      <c r="C146" s="76" t="s">
        <v>118</v>
      </c>
      <c r="D146" s="87"/>
      <c r="E146" s="78">
        <v>45901</v>
      </c>
      <c r="F146" s="89">
        <v>224</v>
      </c>
      <c r="G146" s="89">
        <f t="shared" si="22"/>
        <v>896</v>
      </c>
      <c r="H146" s="81">
        <v>4</v>
      </c>
      <c r="I146" s="91"/>
      <c r="J146" s="32"/>
      <c r="K146" s="32"/>
      <c r="L146" s="33">
        <f>4</f>
        <v>4</v>
      </c>
      <c r="M146" s="34">
        <v>0</v>
      </c>
      <c r="N146" s="35">
        <v>0</v>
      </c>
      <c r="O146" s="36"/>
      <c r="P146" s="37">
        <f t="shared" si="26"/>
        <v>4</v>
      </c>
    </row>
    <row r="147" spans="1:16" ht="15">
      <c r="A147" s="22"/>
      <c r="B147" s="255" t="s">
        <v>199</v>
      </c>
      <c r="C147" s="256"/>
      <c r="D147" s="256"/>
      <c r="E147" s="256"/>
      <c r="F147" s="256"/>
      <c r="G147" s="256"/>
      <c r="H147" s="256"/>
      <c r="I147" s="65"/>
      <c r="J147" s="31"/>
      <c r="K147" s="32"/>
      <c r="L147" s="55"/>
      <c r="M147" s="42"/>
      <c r="N147" s="35"/>
      <c r="O147" s="36"/>
      <c r="P147" s="37">
        <f t="shared" si="26"/>
        <v>0</v>
      </c>
    </row>
    <row r="148" spans="1:16" ht="42.75" customHeight="1">
      <c r="A148" s="106">
        <v>1</v>
      </c>
      <c r="B148" s="107" t="s">
        <v>200</v>
      </c>
      <c r="C148" s="108" t="s">
        <v>23</v>
      </c>
      <c r="D148" s="109"/>
      <c r="E148" s="110">
        <v>46539</v>
      </c>
      <c r="F148" s="64">
        <v>87.763220000000004</v>
      </c>
      <c r="G148" s="28">
        <f t="shared" ref="G148:G163" si="27">F148*H148</f>
        <v>789.86898000000008</v>
      </c>
      <c r="H148" s="29">
        <v>9</v>
      </c>
      <c r="I148" s="65"/>
      <c r="J148" s="32"/>
      <c r="K148" s="31"/>
      <c r="L148" s="45"/>
      <c r="M148" s="34"/>
      <c r="N148" s="43">
        <v>9</v>
      </c>
      <c r="O148" s="36"/>
      <c r="P148" s="37"/>
    </row>
    <row r="149" spans="1:16" ht="102">
      <c r="A149" s="106">
        <v>2</v>
      </c>
      <c r="B149" s="111" t="s">
        <v>201</v>
      </c>
      <c r="C149" s="108" t="s">
        <v>23</v>
      </c>
      <c r="D149" s="109"/>
      <c r="E149" s="110">
        <v>46419</v>
      </c>
      <c r="F149" s="74">
        <v>47.498109999999997</v>
      </c>
      <c r="G149" s="28">
        <f t="shared" si="27"/>
        <v>854.96597999999994</v>
      </c>
      <c r="H149" s="29">
        <v>18</v>
      </c>
      <c r="I149" s="65"/>
      <c r="J149" s="32"/>
      <c r="K149" s="31"/>
      <c r="L149" s="45"/>
      <c r="M149" s="34"/>
      <c r="N149" s="43">
        <v>18</v>
      </c>
      <c r="O149" s="36"/>
      <c r="P149" s="37">
        <f t="shared" ref="P149:P153" si="28">L149+M149+N149</f>
        <v>18</v>
      </c>
    </row>
    <row r="150" spans="1:16" ht="38.25">
      <c r="A150" s="106">
        <v>3</v>
      </c>
      <c r="B150" s="107" t="s">
        <v>202</v>
      </c>
      <c r="C150" s="108" t="s">
        <v>203</v>
      </c>
      <c r="D150" s="109"/>
      <c r="E150" s="110">
        <v>46447</v>
      </c>
      <c r="F150" s="112">
        <v>63</v>
      </c>
      <c r="G150" s="28">
        <f t="shared" si="27"/>
        <v>81900</v>
      </c>
      <c r="H150" s="29">
        <v>1300</v>
      </c>
      <c r="I150" s="65"/>
      <c r="J150" s="31"/>
      <c r="K150" s="32"/>
      <c r="L150" s="45"/>
      <c r="M150" s="34">
        <f>300+800</f>
        <v>1100</v>
      </c>
      <c r="N150" s="43">
        <v>200</v>
      </c>
      <c r="O150" s="36"/>
      <c r="P150" s="37">
        <f t="shared" si="28"/>
        <v>1300</v>
      </c>
    </row>
    <row r="151" spans="1:16" ht="89.25">
      <c r="A151" s="106">
        <v>4</v>
      </c>
      <c r="B151" s="107" t="s">
        <v>204</v>
      </c>
      <c r="C151" s="108" t="s">
        <v>203</v>
      </c>
      <c r="D151" s="109"/>
      <c r="E151" s="110">
        <v>46204</v>
      </c>
      <c r="F151" s="113">
        <v>311.82</v>
      </c>
      <c r="G151" s="28">
        <f t="shared" si="27"/>
        <v>40224.78</v>
      </c>
      <c r="H151" s="29">
        <v>129</v>
      </c>
      <c r="I151" s="65"/>
      <c r="J151" s="114"/>
      <c r="K151" s="32"/>
      <c r="L151" s="45"/>
      <c r="M151" s="34"/>
      <c r="N151" s="43">
        <v>129</v>
      </c>
      <c r="O151" s="36"/>
      <c r="P151" s="37">
        <f t="shared" si="28"/>
        <v>129</v>
      </c>
    </row>
    <row r="152" spans="1:16" ht="38.25" hidden="1">
      <c r="A152" s="106">
        <v>9</v>
      </c>
      <c r="B152" s="107" t="s">
        <v>205</v>
      </c>
      <c r="C152" s="108" t="s">
        <v>203</v>
      </c>
      <c r="D152" s="109"/>
      <c r="E152" s="110">
        <v>46082</v>
      </c>
      <c r="F152" s="113">
        <v>102.39241</v>
      </c>
      <c r="G152" s="28">
        <f t="shared" si="27"/>
        <v>0</v>
      </c>
      <c r="H152" s="29">
        <v>0</v>
      </c>
      <c r="I152" s="65"/>
      <c r="J152" s="31"/>
      <c r="K152" s="32"/>
      <c r="L152" s="45"/>
      <c r="M152" s="34"/>
      <c r="N152" s="43">
        <v>0</v>
      </c>
      <c r="O152" s="36"/>
      <c r="P152" s="37">
        <f t="shared" si="28"/>
        <v>0</v>
      </c>
    </row>
    <row r="153" spans="1:16" ht="89.25">
      <c r="A153" s="106">
        <v>5</v>
      </c>
      <c r="B153" s="107" t="s">
        <v>206</v>
      </c>
      <c r="C153" s="108" t="s">
        <v>203</v>
      </c>
      <c r="D153" s="109"/>
      <c r="E153" s="110">
        <v>46296</v>
      </c>
      <c r="F153" s="113">
        <v>165.97004999999999</v>
      </c>
      <c r="G153" s="28">
        <f t="shared" si="27"/>
        <v>6472.8319499999998</v>
      </c>
      <c r="H153" s="29">
        <v>39</v>
      </c>
      <c r="I153" s="65"/>
      <c r="J153" s="31"/>
      <c r="K153" s="32"/>
      <c r="L153" s="45"/>
      <c r="M153" s="34"/>
      <c r="N153" s="43">
        <v>39</v>
      </c>
      <c r="O153" s="36"/>
      <c r="P153" s="37">
        <f t="shared" si="28"/>
        <v>39</v>
      </c>
    </row>
    <row r="154" spans="1:16" ht="63.75">
      <c r="A154" s="106">
        <v>6</v>
      </c>
      <c r="B154" s="107" t="s">
        <v>207</v>
      </c>
      <c r="C154" s="108" t="s">
        <v>23</v>
      </c>
      <c r="D154" s="109"/>
      <c r="E154" s="110">
        <v>46722</v>
      </c>
      <c r="F154" s="113">
        <v>22.809000000000001</v>
      </c>
      <c r="G154" s="28">
        <f t="shared" si="27"/>
        <v>2417.7539999999999</v>
      </c>
      <c r="H154" s="29">
        <v>106</v>
      </c>
      <c r="I154" s="65"/>
      <c r="J154" s="31"/>
      <c r="K154" s="32"/>
      <c r="L154" s="45"/>
      <c r="M154" s="34"/>
      <c r="N154" s="43">
        <v>106</v>
      </c>
      <c r="O154" s="36"/>
      <c r="P154" s="37"/>
    </row>
    <row r="155" spans="1:16" ht="66.75" customHeight="1">
      <c r="A155" s="106">
        <v>7</v>
      </c>
      <c r="B155" s="115" t="s">
        <v>208</v>
      </c>
      <c r="C155" s="108" t="s">
        <v>203</v>
      </c>
      <c r="D155" s="109"/>
      <c r="E155" s="110">
        <v>46174</v>
      </c>
      <c r="F155" s="113">
        <v>165.97</v>
      </c>
      <c r="G155" s="28">
        <f t="shared" si="27"/>
        <v>13277.6</v>
      </c>
      <c r="H155" s="29">
        <v>80</v>
      </c>
      <c r="I155" s="65"/>
      <c r="J155" s="31"/>
      <c r="K155" s="32"/>
      <c r="L155" s="45"/>
      <c r="M155" s="34"/>
      <c r="N155" s="43">
        <v>80</v>
      </c>
      <c r="O155" s="36"/>
      <c r="P155" s="37"/>
    </row>
    <row r="156" spans="1:16" ht="45.75" customHeight="1">
      <c r="A156" s="106">
        <v>8</v>
      </c>
      <c r="B156" s="115" t="s">
        <v>209</v>
      </c>
      <c r="C156" s="108" t="s">
        <v>23</v>
      </c>
      <c r="D156" s="109"/>
      <c r="E156" s="110">
        <v>46235</v>
      </c>
      <c r="F156" s="113">
        <v>83.28913</v>
      </c>
      <c r="G156" s="28">
        <f t="shared" si="27"/>
        <v>1499.20434</v>
      </c>
      <c r="H156" s="29">
        <v>18</v>
      </c>
      <c r="I156" s="65"/>
      <c r="J156" s="31"/>
      <c r="K156" s="32"/>
      <c r="L156" s="45"/>
      <c r="M156" s="34"/>
      <c r="N156" s="43">
        <v>18</v>
      </c>
      <c r="O156" s="36"/>
      <c r="P156" s="37"/>
    </row>
    <row r="157" spans="1:16" ht="48.75" customHeight="1">
      <c r="A157" s="106">
        <v>9</v>
      </c>
      <c r="B157" s="107" t="s">
        <v>210</v>
      </c>
      <c r="C157" s="108" t="s">
        <v>211</v>
      </c>
      <c r="D157" s="109"/>
      <c r="E157" s="110">
        <v>46419</v>
      </c>
      <c r="F157" s="113">
        <v>151.69268</v>
      </c>
      <c r="G157" s="28">
        <f t="shared" si="27"/>
        <v>151.69268</v>
      </c>
      <c r="H157" s="29">
        <v>1</v>
      </c>
      <c r="I157" s="65">
        <v>0</v>
      </c>
      <c r="J157" s="31"/>
      <c r="K157" s="32"/>
      <c r="L157" s="45"/>
      <c r="M157" s="34"/>
      <c r="N157" s="43">
        <v>1</v>
      </c>
      <c r="O157" s="36"/>
      <c r="P157" s="37"/>
    </row>
    <row r="158" spans="1:16" ht="49.5" customHeight="1">
      <c r="A158" s="106">
        <v>10</v>
      </c>
      <c r="B158" s="107" t="s">
        <v>212</v>
      </c>
      <c r="C158" s="108" t="s">
        <v>211</v>
      </c>
      <c r="D158" s="109"/>
      <c r="E158" s="116">
        <v>46419</v>
      </c>
      <c r="F158" s="113">
        <v>104.197</v>
      </c>
      <c r="G158" s="28">
        <f t="shared" si="27"/>
        <v>1250.364</v>
      </c>
      <c r="H158" s="29">
        <v>12</v>
      </c>
      <c r="I158" s="65"/>
      <c r="J158" s="31"/>
      <c r="K158" s="32"/>
      <c r="L158" s="55"/>
      <c r="M158" s="34"/>
      <c r="N158" s="43">
        <v>12</v>
      </c>
      <c r="O158" s="36"/>
      <c r="P158" s="37"/>
    </row>
    <row r="159" spans="1:16" ht="63.75" customHeight="1">
      <c r="A159" s="106">
        <v>11</v>
      </c>
      <c r="B159" s="107" t="s">
        <v>213</v>
      </c>
      <c r="C159" s="108" t="s">
        <v>211</v>
      </c>
      <c r="D159" s="109"/>
      <c r="E159" s="116">
        <v>46419</v>
      </c>
      <c r="F159" s="113">
        <v>53.739330000000002</v>
      </c>
      <c r="G159" s="28">
        <f t="shared" si="27"/>
        <v>1074.7866000000001</v>
      </c>
      <c r="H159" s="29">
        <v>20</v>
      </c>
      <c r="I159" s="65"/>
      <c r="J159" s="31"/>
      <c r="K159" s="32"/>
      <c r="L159" s="55"/>
      <c r="M159" s="34"/>
      <c r="N159" s="43">
        <v>20</v>
      </c>
      <c r="O159" s="36"/>
      <c r="P159" s="37"/>
    </row>
    <row r="160" spans="1:16" ht="38.25">
      <c r="A160" s="106">
        <v>12</v>
      </c>
      <c r="B160" s="117" t="s">
        <v>214</v>
      </c>
      <c r="C160" s="118" t="s">
        <v>203</v>
      </c>
      <c r="D160" s="119"/>
      <c r="E160" s="120">
        <v>45962</v>
      </c>
      <c r="F160" s="121">
        <v>278.76278000000002</v>
      </c>
      <c r="G160" s="28">
        <f t="shared" si="27"/>
        <v>25088.650200000004</v>
      </c>
      <c r="H160" s="29">
        <v>90</v>
      </c>
      <c r="I160" s="65"/>
      <c r="J160" s="31"/>
      <c r="K160" s="32"/>
      <c r="L160" s="55"/>
      <c r="M160" s="34">
        <v>0</v>
      </c>
      <c r="N160" s="43"/>
      <c r="O160" s="36"/>
      <c r="P160" s="37"/>
    </row>
    <row r="161" spans="1:18" ht="39.75" customHeight="1">
      <c r="A161" s="106">
        <v>13</v>
      </c>
      <c r="B161" s="122" t="s">
        <v>215</v>
      </c>
      <c r="C161" s="118" t="s">
        <v>203</v>
      </c>
      <c r="D161" s="119"/>
      <c r="E161" s="123">
        <v>46054</v>
      </c>
      <c r="F161" s="121">
        <v>279.78750000000002</v>
      </c>
      <c r="G161" s="28">
        <f t="shared" si="27"/>
        <v>1678.7250000000001</v>
      </c>
      <c r="H161" s="29">
        <v>6</v>
      </c>
      <c r="I161" s="65"/>
      <c r="J161" s="31"/>
      <c r="K161" s="32"/>
      <c r="L161" s="55"/>
      <c r="M161" s="34"/>
      <c r="N161" s="43">
        <v>6</v>
      </c>
      <c r="O161" s="36"/>
      <c r="P161" s="37"/>
    </row>
    <row r="162" spans="1:18" ht="42" customHeight="1">
      <c r="A162" s="106">
        <v>14</v>
      </c>
      <c r="B162" s="122" t="s">
        <v>216</v>
      </c>
      <c r="C162" s="118" t="s">
        <v>203</v>
      </c>
      <c r="D162" s="119"/>
      <c r="E162" s="123">
        <v>46204</v>
      </c>
      <c r="F162" s="121">
        <v>279.78733</v>
      </c>
      <c r="G162" s="28">
        <f t="shared" si="27"/>
        <v>2797.8733000000002</v>
      </c>
      <c r="H162" s="29">
        <v>10</v>
      </c>
      <c r="I162" s="65"/>
      <c r="J162" s="31"/>
      <c r="K162" s="32"/>
      <c r="L162" s="55"/>
      <c r="M162" s="34"/>
      <c r="N162" s="43">
        <v>10</v>
      </c>
      <c r="O162" s="36"/>
      <c r="P162" s="37"/>
    </row>
    <row r="163" spans="1:18" ht="42" customHeight="1">
      <c r="A163" s="106">
        <v>15</v>
      </c>
      <c r="B163" s="122" t="s">
        <v>217</v>
      </c>
      <c r="C163" s="118" t="s">
        <v>23</v>
      </c>
      <c r="D163" s="119"/>
      <c r="E163" s="123">
        <v>46388</v>
      </c>
      <c r="F163" s="121">
        <v>19.100000000000001</v>
      </c>
      <c r="G163" s="28">
        <f t="shared" si="27"/>
        <v>19.100000000000001</v>
      </c>
      <c r="H163" s="29">
        <v>1</v>
      </c>
      <c r="I163" s="65"/>
      <c r="J163" s="31"/>
      <c r="K163" s="32"/>
      <c r="L163" s="55"/>
      <c r="M163" s="34"/>
      <c r="N163" s="43">
        <v>1</v>
      </c>
      <c r="O163" s="36"/>
      <c r="P163" s="37"/>
    </row>
    <row r="164" spans="1:18" ht="30" customHeight="1">
      <c r="A164" s="106">
        <v>16</v>
      </c>
      <c r="B164" s="122" t="s">
        <v>218</v>
      </c>
      <c r="C164" s="118" t="s">
        <v>118</v>
      </c>
      <c r="D164" s="119"/>
      <c r="E164" s="124"/>
      <c r="F164" s="125"/>
      <c r="G164" s="28">
        <f t="shared" ref="G164:G166" si="29">H164*F164</f>
        <v>0</v>
      </c>
      <c r="H164" s="29">
        <v>100</v>
      </c>
      <c r="I164" s="65"/>
      <c r="J164" s="31"/>
      <c r="K164" s="32"/>
      <c r="L164" s="55"/>
      <c r="M164" s="34"/>
      <c r="N164" s="43">
        <v>100</v>
      </c>
      <c r="O164" s="36"/>
      <c r="P164" s="37">
        <f t="shared" ref="P164:P165" si="30">L164+M164+N164</f>
        <v>100</v>
      </c>
    </row>
    <row r="165" spans="1:18" ht="38.25">
      <c r="A165" s="106">
        <v>17</v>
      </c>
      <c r="B165" s="126" t="s">
        <v>219</v>
      </c>
      <c r="C165" s="118" t="s">
        <v>118</v>
      </c>
      <c r="D165" s="119"/>
      <c r="E165" s="123">
        <v>46204</v>
      </c>
      <c r="F165" s="127">
        <v>0</v>
      </c>
      <c r="G165" s="28">
        <f t="shared" si="29"/>
        <v>0</v>
      </c>
      <c r="H165" s="29">
        <v>190</v>
      </c>
      <c r="I165" s="65"/>
      <c r="J165" s="32"/>
      <c r="K165" s="32"/>
      <c r="L165" s="45">
        <v>0</v>
      </c>
      <c r="M165" s="34"/>
      <c r="N165" s="43">
        <v>190</v>
      </c>
      <c r="O165" s="36"/>
      <c r="P165" s="37">
        <f t="shared" si="30"/>
        <v>190</v>
      </c>
    </row>
    <row r="166" spans="1:18" ht="38.25">
      <c r="A166" s="106">
        <v>18</v>
      </c>
      <c r="B166" s="122" t="s">
        <v>220</v>
      </c>
      <c r="C166" s="118" t="s">
        <v>118</v>
      </c>
      <c r="D166" s="128"/>
      <c r="E166" s="123">
        <v>46661</v>
      </c>
      <c r="F166" s="121">
        <v>1.5</v>
      </c>
      <c r="G166" s="28">
        <f t="shared" si="29"/>
        <v>15</v>
      </c>
      <c r="H166" s="29">
        <v>10</v>
      </c>
      <c r="I166" s="65"/>
      <c r="J166" s="32"/>
      <c r="K166" s="32"/>
      <c r="L166" s="45"/>
      <c r="M166" s="34"/>
      <c r="N166" s="43">
        <v>10</v>
      </c>
      <c r="O166" s="36"/>
      <c r="P166" s="37"/>
    </row>
    <row r="167" spans="1:18" ht="38.25">
      <c r="A167" s="106">
        <v>19</v>
      </c>
      <c r="B167" s="122" t="s">
        <v>221</v>
      </c>
      <c r="C167" s="118" t="s">
        <v>118</v>
      </c>
      <c r="D167" s="128"/>
      <c r="E167" s="123">
        <v>46204</v>
      </c>
      <c r="F167" s="121">
        <v>0</v>
      </c>
      <c r="G167" s="46">
        <f t="shared" ref="G167:G171" si="31">F167*H167</f>
        <v>0</v>
      </c>
      <c r="H167" s="29">
        <v>189</v>
      </c>
      <c r="I167" s="65"/>
      <c r="J167" s="32"/>
      <c r="K167" s="32"/>
      <c r="L167" s="45"/>
      <c r="M167" s="34">
        <v>189</v>
      </c>
      <c r="N167" s="43"/>
      <c r="O167" s="36"/>
      <c r="P167" s="37">
        <f t="shared" ref="P167:P170" si="32">L167+M167+N167</f>
        <v>189</v>
      </c>
    </row>
    <row r="168" spans="1:18" ht="38.25">
      <c r="A168" s="106">
        <v>20</v>
      </c>
      <c r="B168" s="122" t="s">
        <v>222</v>
      </c>
      <c r="C168" s="118" t="s">
        <v>118</v>
      </c>
      <c r="D168" s="119"/>
      <c r="E168" s="129">
        <v>46296</v>
      </c>
      <c r="F168" s="130">
        <v>1.31</v>
      </c>
      <c r="G168" s="46">
        <f t="shared" si="31"/>
        <v>4735.6500000000005</v>
      </c>
      <c r="H168" s="29">
        <v>3615</v>
      </c>
      <c r="I168" s="65"/>
      <c r="J168" s="32"/>
      <c r="K168" s="32"/>
      <c r="L168" s="45">
        <v>0</v>
      </c>
      <c r="M168" s="34">
        <v>1468</v>
      </c>
      <c r="N168" s="35">
        <v>2147</v>
      </c>
      <c r="O168" s="36"/>
      <c r="P168" s="37">
        <f t="shared" si="32"/>
        <v>3615</v>
      </c>
    </row>
    <row r="169" spans="1:18" ht="51">
      <c r="A169" s="106">
        <v>21</v>
      </c>
      <c r="B169" s="122" t="s">
        <v>223</v>
      </c>
      <c r="C169" s="118" t="s">
        <v>118</v>
      </c>
      <c r="D169" s="119"/>
      <c r="E169" s="129">
        <v>46296</v>
      </c>
      <c r="F169" s="130">
        <v>3.54</v>
      </c>
      <c r="G169" s="46">
        <f t="shared" si="31"/>
        <v>3886.92</v>
      </c>
      <c r="H169" s="29">
        <v>1098</v>
      </c>
      <c r="I169" s="65"/>
      <c r="J169" s="32"/>
      <c r="K169" s="32"/>
      <c r="L169" s="45"/>
      <c r="M169" s="34">
        <v>898</v>
      </c>
      <c r="N169" s="35">
        <v>0</v>
      </c>
      <c r="O169" s="36"/>
      <c r="P169" s="37">
        <f t="shared" si="32"/>
        <v>898</v>
      </c>
    </row>
    <row r="170" spans="1:18" ht="38.25">
      <c r="A170" s="106">
        <v>22</v>
      </c>
      <c r="B170" s="122" t="s">
        <v>224</v>
      </c>
      <c r="C170" s="118" t="s">
        <v>118</v>
      </c>
      <c r="D170" s="119"/>
      <c r="E170" s="129">
        <v>46508</v>
      </c>
      <c r="F170" s="130">
        <v>1.46</v>
      </c>
      <c r="G170" s="46">
        <f t="shared" si="31"/>
        <v>146</v>
      </c>
      <c r="H170" s="29">
        <v>100</v>
      </c>
      <c r="I170" s="65"/>
      <c r="J170" s="32"/>
      <c r="K170" s="32"/>
      <c r="L170" s="45">
        <v>0</v>
      </c>
      <c r="M170" s="34"/>
      <c r="N170" s="35">
        <v>100</v>
      </c>
      <c r="O170" s="36"/>
      <c r="P170" s="37">
        <f t="shared" si="32"/>
        <v>100</v>
      </c>
    </row>
    <row r="171" spans="1:18" ht="51">
      <c r="A171" s="106">
        <v>23</v>
      </c>
      <c r="B171" s="107" t="s">
        <v>225</v>
      </c>
      <c r="C171" s="108" t="s">
        <v>118</v>
      </c>
      <c r="D171" s="109"/>
      <c r="E171" s="131"/>
      <c r="F171" s="74">
        <v>33.58</v>
      </c>
      <c r="G171" s="46">
        <f t="shared" si="31"/>
        <v>33.58</v>
      </c>
      <c r="H171" s="64">
        <v>1</v>
      </c>
      <c r="I171" s="65"/>
      <c r="J171" s="32"/>
      <c r="K171" s="32"/>
      <c r="L171" s="45"/>
      <c r="M171" s="34"/>
      <c r="N171" s="35"/>
      <c r="O171" s="36"/>
      <c r="P171" s="37"/>
    </row>
    <row r="172" spans="1:18" ht="25.5">
      <c r="A172" s="106">
        <v>24</v>
      </c>
      <c r="B172" s="107" t="s">
        <v>226</v>
      </c>
      <c r="C172" s="108" t="s">
        <v>118</v>
      </c>
      <c r="D172" s="109"/>
      <c r="E172" s="131"/>
      <c r="F172" s="74">
        <v>948</v>
      </c>
      <c r="G172" s="28">
        <f t="shared" ref="G172:G173" si="33">H172*F172</f>
        <v>3792</v>
      </c>
      <c r="H172" s="64">
        <v>4</v>
      </c>
      <c r="I172" s="65"/>
      <c r="J172" s="32"/>
      <c r="K172" s="32"/>
      <c r="L172" s="45">
        <v>4</v>
      </c>
      <c r="M172" s="34">
        <v>0</v>
      </c>
      <c r="N172" s="35"/>
      <c r="O172" s="36"/>
      <c r="P172" s="37">
        <f t="shared" ref="P172:P174" si="34">L172+M172+N172</f>
        <v>4</v>
      </c>
    </row>
    <row r="173" spans="1:18" ht="20.25" customHeight="1">
      <c r="A173" s="106">
        <v>25</v>
      </c>
      <c r="B173" s="132" t="s">
        <v>227</v>
      </c>
      <c r="C173" s="108" t="s">
        <v>23</v>
      </c>
      <c r="D173" s="133"/>
      <c r="E173" s="116">
        <v>46419</v>
      </c>
      <c r="F173" s="64">
        <v>25.79</v>
      </c>
      <c r="G173" s="134">
        <f t="shared" si="33"/>
        <v>902.65</v>
      </c>
      <c r="H173" s="64">
        <v>35</v>
      </c>
      <c r="I173" s="65"/>
      <c r="J173" s="59"/>
      <c r="K173" s="57"/>
      <c r="L173" s="33">
        <f>40-2-8-6-5</f>
        <v>19</v>
      </c>
      <c r="M173" s="42">
        <v>4</v>
      </c>
      <c r="N173" s="35">
        <v>12</v>
      </c>
      <c r="O173" s="36"/>
      <c r="P173" s="37">
        <f t="shared" si="34"/>
        <v>35</v>
      </c>
    </row>
    <row r="174" spans="1:18" ht="28.5">
      <c r="A174" s="106">
        <v>26</v>
      </c>
      <c r="B174" s="135" t="s">
        <v>228</v>
      </c>
      <c r="C174" s="136" t="s">
        <v>118</v>
      </c>
      <c r="D174" s="136"/>
      <c r="E174" s="137">
        <v>46054</v>
      </c>
      <c r="F174" s="138">
        <v>41.60051</v>
      </c>
      <c r="G174" s="139">
        <f t="shared" ref="G174:G179" si="35">F174*H174</f>
        <v>41.60051</v>
      </c>
      <c r="H174" s="140">
        <v>1</v>
      </c>
      <c r="I174" s="47"/>
      <c r="J174" s="31"/>
      <c r="K174" s="31"/>
      <c r="L174" s="45"/>
      <c r="M174" s="42">
        <v>0</v>
      </c>
      <c r="N174" s="43">
        <v>1</v>
      </c>
      <c r="O174" s="36"/>
      <c r="P174" s="37">
        <f t="shared" si="34"/>
        <v>1</v>
      </c>
      <c r="Q174" s="31"/>
      <c r="R174" s="59"/>
    </row>
    <row r="175" spans="1:18" ht="57">
      <c r="A175" s="106">
        <v>27</v>
      </c>
      <c r="B175" s="135" t="s">
        <v>229</v>
      </c>
      <c r="C175" s="136" t="s">
        <v>230</v>
      </c>
      <c r="D175" s="136" t="s">
        <v>231</v>
      </c>
      <c r="E175" s="137">
        <v>46388</v>
      </c>
      <c r="F175" s="138">
        <v>774.66</v>
      </c>
      <c r="G175" s="139">
        <f t="shared" si="35"/>
        <v>1549.32</v>
      </c>
      <c r="H175" s="140">
        <v>2</v>
      </c>
      <c r="I175" s="47"/>
      <c r="J175" s="31"/>
      <c r="K175" s="31"/>
      <c r="L175" s="45">
        <v>2</v>
      </c>
      <c r="M175" s="141"/>
      <c r="N175" s="60"/>
      <c r="O175" s="36"/>
      <c r="P175" s="37"/>
      <c r="Q175" s="31"/>
      <c r="R175" s="59"/>
    </row>
    <row r="176" spans="1:18" ht="57">
      <c r="A176" s="106">
        <v>28</v>
      </c>
      <c r="B176" s="135" t="s">
        <v>232</v>
      </c>
      <c r="C176" s="136" t="s">
        <v>230</v>
      </c>
      <c r="D176" s="136" t="s">
        <v>231</v>
      </c>
      <c r="E176" s="137">
        <v>46447</v>
      </c>
      <c r="F176" s="138">
        <v>774.66166699999997</v>
      </c>
      <c r="G176" s="139">
        <f t="shared" si="35"/>
        <v>4647.970002</v>
      </c>
      <c r="H176" s="140">
        <v>6</v>
      </c>
      <c r="I176" s="47"/>
      <c r="J176" s="31"/>
      <c r="K176" s="31"/>
      <c r="L176" s="45">
        <v>6</v>
      </c>
      <c r="M176" s="141"/>
      <c r="N176" s="60"/>
      <c r="O176" s="36"/>
      <c r="P176" s="37"/>
      <c r="Q176" s="31"/>
      <c r="R176" s="59"/>
    </row>
    <row r="177" spans="1:18" ht="42.75">
      <c r="A177" s="106">
        <v>29</v>
      </c>
      <c r="B177" s="135" t="s">
        <v>233</v>
      </c>
      <c r="C177" s="136" t="s">
        <v>230</v>
      </c>
      <c r="D177" s="136" t="s">
        <v>61</v>
      </c>
      <c r="E177" s="137">
        <v>46174</v>
      </c>
      <c r="F177" s="138">
        <v>216.33799999999999</v>
      </c>
      <c r="G177" s="139">
        <f t="shared" si="35"/>
        <v>1081.69</v>
      </c>
      <c r="H177" s="140">
        <v>5</v>
      </c>
      <c r="I177" s="47"/>
      <c r="J177" s="31"/>
      <c r="K177" s="31"/>
      <c r="L177" s="45">
        <v>5</v>
      </c>
      <c r="M177" s="141"/>
      <c r="N177" s="60"/>
      <c r="O177" s="36"/>
      <c r="P177" s="37"/>
      <c r="Q177" s="31"/>
      <c r="R177" s="59"/>
    </row>
    <row r="178" spans="1:18" ht="77.25" customHeight="1">
      <c r="A178" s="106">
        <v>30</v>
      </c>
      <c r="B178" s="135" t="s">
        <v>234</v>
      </c>
      <c r="C178" s="136" t="s">
        <v>230</v>
      </c>
      <c r="D178" s="136" t="s">
        <v>231</v>
      </c>
      <c r="E178" s="142">
        <v>46327</v>
      </c>
      <c r="F178" s="138">
        <v>850.47</v>
      </c>
      <c r="G178" s="139">
        <f t="shared" si="35"/>
        <v>850.47</v>
      </c>
      <c r="H178" s="140">
        <v>1</v>
      </c>
      <c r="I178" s="47"/>
      <c r="J178" s="31"/>
      <c r="K178" s="31"/>
      <c r="L178" s="45">
        <v>1</v>
      </c>
      <c r="M178" s="141"/>
      <c r="N178" s="60"/>
      <c r="O178" s="36"/>
      <c r="P178" s="37"/>
      <c r="Q178" s="31"/>
      <c r="R178" s="59"/>
    </row>
    <row r="179" spans="1:18" ht="42.75">
      <c r="A179" s="106">
        <v>31</v>
      </c>
      <c r="B179" s="135" t="s">
        <v>235</v>
      </c>
      <c r="C179" s="136" t="s">
        <v>230</v>
      </c>
      <c r="D179" s="136" t="s">
        <v>231</v>
      </c>
      <c r="E179" s="142">
        <v>46357</v>
      </c>
      <c r="F179" s="138">
        <v>1244.55</v>
      </c>
      <c r="G179" s="139">
        <f t="shared" si="35"/>
        <v>1244.55</v>
      </c>
      <c r="H179" s="140">
        <v>1</v>
      </c>
      <c r="I179" s="65">
        <v>25</v>
      </c>
      <c r="J179" s="31"/>
      <c r="K179" s="31"/>
      <c r="L179" s="45"/>
      <c r="M179" s="141"/>
      <c r="N179" s="60"/>
      <c r="O179" s="36"/>
      <c r="P179" s="37"/>
      <c r="Q179" s="31"/>
      <c r="R179" s="59"/>
    </row>
    <row r="180" spans="1:18" ht="14.25">
      <c r="A180" s="106">
        <v>32</v>
      </c>
      <c r="B180" s="143" t="s">
        <v>236</v>
      </c>
      <c r="C180" s="136" t="s">
        <v>118</v>
      </c>
      <c r="D180" s="136"/>
      <c r="E180" s="136"/>
      <c r="F180" s="138">
        <v>65</v>
      </c>
      <c r="G180" s="144">
        <f t="shared" ref="G180:G181" si="36">H180*F180</f>
        <v>1300</v>
      </c>
      <c r="H180" s="140">
        <v>20</v>
      </c>
      <c r="I180" s="47"/>
      <c r="J180" s="31"/>
      <c r="K180" s="31"/>
      <c r="L180" s="45">
        <v>20</v>
      </c>
      <c r="M180" s="141"/>
      <c r="N180" s="60"/>
      <c r="O180" s="36"/>
      <c r="P180" s="37">
        <f t="shared" ref="P180:P182" si="37">L180+M180+N180</f>
        <v>20</v>
      </c>
      <c r="Q180" s="31"/>
      <c r="R180" s="59"/>
    </row>
    <row r="181" spans="1:18" ht="18.75" customHeight="1">
      <c r="A181" s="106">
        <v>33</v>
      </c>
      <c r="B181" s="143" t="s">
        <v>237</v>
      </c>
      <c r="C181" s="136" t="s">
        <v>118</v>
      </c>
      <c r="D181" s="136"/>
      <c r="E181" s="136"/>
      <c r="F181" s="138">
        <v>150</v>
      </c>
      <c r="G181" s="144">
        <f t="shared" si="36"/>
        <v>1500</v>
      </c>
      <c r="H181" s="140">
        <v>10</v>
      </c>
      <c r="I181" s="47"/>
      <c r="J181" s="31"/>
      <c r="K181" s="31"/>
      <c r="L181" s="45">
        <v>10</v>
      </c>
      <c r="M181" s="141"/>
      <c r="N181" s="60"/>
      <c r="O181" s="36"/>
      <c r="P181" s="37">
        <f t="shared" si="37"/>
        <v>10</v>
      </c>
      <c r="Q181" s="31"/>
      <c r="R181" s="59"/>
    </row>
    <row r="182" spans="1:18" ht="24" customHeight="1">
      <c r="A182" s="106"/>
      <c r="B182" s="257" t="s">
        <v>238</v>
      </c>
      <c r="C182" s="256"/>
      <c r="D182" s="256"/>
      <c r="E182" s="256"/>
      <c r="F182" s="256"/>
      <c r="G182" s="258"/>
      <c r="H182" s="145"/>
      <c r="I182" s="146"/>
      <c r="J182" s="32" t="s">
        <v>0</v>
      </c>
      <c r="K182" s="31"/>
      <c r="L182" s="55"/>
      <c r="M182" s="141"/>
      <c r="N182" s="60"/>
      <c r="O182" s="36"/>
      <c r="P182" s="37">
        <f t="shared" si="37"/>
        <v>0</v>
      </c>
      <c r="Q182" s="31"/>
      <c r="R182" s="59">
        <v>0</v>
      </c>
    </row>
    <row r="183" spans="1:18" ht="12.75">
      <c r="A183" s="147"/>
      <c r="B183" s="148" t="s">
        <v>239</v>
      </c>
      <c r="C183" s="149" t="s">
        <v>23</v>
      </c>
      <c r="D183" s="150"/>
      <c r="E183" s="151"/>
      <c r="F183" s="152">
        <v>60</v>
      </c>
      <c r="G183" s="153">
        <f t="shared" ref="G183:G184" si="38">F183*H183</f>
        <v>9060</v>
      </c>
      <c r="H183" s="154">
        <v>151</v>
      </c>
      <c r="I183" s="155"/>
      <c r="J183" s="156"/>
      <c r="K183" s="155"/>
      <c r="L183" s="157"/>
      <c r="M183" s="34">
        <v>151</v>
      </c>
      <c r="N183" s="35"/>
      <c r="O183" s="36"/>
      <c r="P183" s="37"/>
    </row>
    <row r="184" spans="1:18" ht="12.75">
      <c r="A184" s="147"/>
      <c r="B184" s="148" t="s">
        <v>240</v>
      </c>
      <c r="C184" s="149" t="s">
        <v>20</v>
      </c>
      <c r="D184" s="158" t="s">
        <v>241</v>
      </c>
      <c r="E184" s="151"/>
      <c r="F184" s="152">
        <v>28</v>
      </c>
      <c r="G184" s="153">
        <f t="shared" si="38"/>
        <v>14000</v>
      </c>
      <c r="H184" s="154">
        <v>500</v>
      </c>
      <c r="I184" s="159">
        <v>15000</v>
      </c>
      <c r="J184" s="156"/>
      <c r="K184" s="155"/>
      <c r="L184" s="157"/>
      <c r="M184" s="34">
        <v>15000</v>
      </c>
      <c r="N184" s="35"/>
      <c r="O184" s="36"/>
      <c r="P184" s="37"/>
    </row>
    <row r="185" spans="1:18" ht="30">
      <c r="A185" s="147">
        <v>1</v>
      </c>
      <c r="B185" s="160" t="s">
        <v>242</v>
      </c>
      <c r="C185" s="149" t="s">
        <v>118</v>
      </c>
      <c r="D185" s="150"/>
      <c r="E185" s="151">
        <v>46082</v>
      </c>
      <c r="F185" s="161">
        <v>36.28</v>
      </c>
      <c r="G185" s="153">
        <f t="shared" ref="G185:G265" si="39">H185*F185</f>
        <v>725.6</v>
      </c>
      <c r="H185" s="162">
        <v>20</v>
      </c>
      <c r="I185" s="155"/>
      <c r="J185" s="156"/>
      <c r="K185" s="155"/>
      <c r="L185" s="157">
        <v>0</v>
      </c>
      <c r="M185" s="34"/>
      <c r="N185" s="35">
        <v>20</v>
      </c>
      <c r="O185" s="36"/>
      <c r="P185" s="37">
        <f t="shared" ref="P185:P186" si="40">L185+M185+N185</f>
        <v>20</v>
      </c>
    </row>
    <row r="186" spans="1:18" ht="14.25">
      <c r="A186" s="147">
        <v>2</v>
      </c>
      <c r="B186" s="163" t="s">
        <v>243</v>
      </c>
      <c r="C186" s="164" t="s">
        <v>20</v>
      </c>
      <c r="D186" s="165" t="s">
        <v>244</v>
      </c>
      <c r="E186" s="166">
        <v>46419</v>
      </c>
      <c r="F186" s="139">
        <v>63.4</v>
      </c>
      <c r="G186" s="153">
        <f t="shared" si="39"/>
        <v>1394.8</v>
      </c>
      <c r="H186" s="167">
        <v>22</v>
      </c>
      <c r="I186" s="168">
        <v>132</v>
      </c>
      <c r="J186" s="169"/>
      <c r="K186" s="31"/>
      <c r="L186" s="33">
        <f>120-120</f>
        <v>0</v>
      </c>
      <c r="M186" s="34">
        <v>96</v>
      </c>
      <c r="N186" s="35">
        <v>0</v>
      </c>
      <c r="O186" s="36"/>
      <c r="P186" s="37">
        <f t="shared" si="40"/>
        <v>96</v>
      </c>
    </row>
    <row r="187" spans="1:18" ht="14.25">
      <c r="A187" s="147">
        <v>3</v>
      </c>
      <c r="B187" s="163" t="s">
        <v>245</v>
      </c>
      <c r="C187" s="164" t="s">
        <v>20</v>
      </c>
      <c r="D187" s="165" t="s">
        <v>246</v>
      </c>
      <c r="E187" s="166"/>
      <c r="F187" s="139">
        <v>393.94</v>
      </c>
      <c r="G187" s="153">
        <f t="shared" si="39"/>
        <v>1181.82</v>
      </c>
      <c r="H187" s="167">
        <v>3</v>
      </c>
      <c r="I187" s="168">
        <v>180</v>
      </c>
      <c r="J187" s="169"/>
      <c r="K187" s="31"/>
      <c r="L187" s="33">
        <v>0</v>
      </c>
      <c r="M187" s="34"/>
      <c r="N187" s="35">
        <v>180</v>
      </c>
      <c r="O187" s="36"/>
      <c r="P187" s="37"/>
    </row>
    <row r="188" spans="1:18" ht="14.25">
      <c r="A188" s="147">
        <v>4</v>
      </c>
      <c r="B188" s="163" t="s">
        <v>247</v>
      </c>
      <c r="C188" s="164" t="s">
        <v>20</v>
      </c>
      <c r="D188" s="165" t="s">
        <v>248</v>
      </c>
      <c r="E188" s="166"/>
      <c r="F188" s="139">
        <v>144.91999999999999</v>
      </c>
      <c r="G188" s="153">
        <f t="shared" si="39"/>
        <v>144.91999999999999</v>
      </c>
      <c r="H188" s="167">
        <v>1</v>
      </c>
      <c r="I188" s="168">
        <v>10</v>
      </c>
      <c r="J188" s="169"/>
      <c r="K188" s="31"/>
      <c r="L188" s="33">
        <f>200-200</f>
        <v>0</v>
      </c>
      <c r="M188" s="34"/>
      <c r="N188" s="35">
        <v>10</v>
      </c>
      <c r="O188" s="36"/>
      <c r="P188" s="37"/>
    </row>
    <row r="189" spans="1:18" ht="14.25">
      <c r="A189" s="147">
        <v>5</v>
      </c>
      <c r="B189" s="163" t="s">
        <v>249</v>
      </c>
      <c r="C189" s="164" t="s">
        <v>20</v>
      </c>
      <c r="D189" s="165" t="s">
        <v>248</v>
      </c>
      <c r="E189" s="166">
        <v>46388</v>
      </c>
      <c r="F189" s="139">
        <v>28.22</v>
      </c>
      <c r="G189" s="144">
        <f t="shared" si="39"/>
        <v>3047.7599999999998</v>
      </c>
      <c r="H189" s="167">
        <v>108</v>
      </c>
      <c r="I189" s="168">
        <v>10800</v>
      </c>
      <c r="J189" s="169"/>
      <c r="K189" s="31"/>
      <c r="L189" s="33">
        <f>10000-100*100</f>
        <v>0</v>
      </c>
      <c r="M189" s="34">
        <v>9500</v>
      </c>
      <c r="N189" s="35"/>
      <c r="O189" s="36"/>
      <c r="P189" s="37">
        <f t="shared" ref="P189:P197" si="41">L189+M189+N189</f>
        <v>9500</v>
      </c>
    </row>
    <row r="190" spans="1:18" ht="14.25" hidden="1">
      <c r="A190" s="147">
        <v>6</v>
      </c>
      <c r="B190" s="163" t="s">
        <v>250</v>
      </c>
      <c r="C190" s="164" t="s">
        <v>20</v>
      </c>
      <c r="D190" s="165" t="s">
        <v>251</v>
      </c>
      <c r="E190" s="166">
        <v>45931</v>
      </c>
      <c r="F190" s="139">
        <v>901.37</v>
      </c>
      <c r="G190" s="144">
        <f t="shared" si="39"/>
        <v>0</v>
      </c>
      <c r="H190" s="167">
        <v>0</v>
      </c>
      <c r="I190" s="168">
        <v>0</v>
      </c>
      <c r="J190" s="31"/>
      <c r="K190" s="31"/>
      <c r="L190" s="33">
        <v>0</v>
      </c>
      <c r="M190" s="34">
        <v>0</v>
      </c>
      <c r="N190" s="35"/>
      <c r="O190" s="36"/>
      <c r="P190" s="37">
        <f t="shared" si="41"/>
        <v>0</v>
      </c>
    </row>
    <row r="191" spans="1:18" ht="28.5">
      <c r="A191" s="147">
        <v>7</v>
      </c>
      <c r="B191" s="163" t="s">
        <v>252</v>
      </c>
      <c r="C191" s="164" t="s">
        <v>20</v>
      </c>
      <c r="D191" s="165" t="s">
        <v>37</v>
      </c>
      <c r="E191" s="166">
        <v>46631</v>
      </c>
      <c r="F191" s="139">
        <v>83.19</v>
      </c>
      <c r="G191" s="144">
        <f t="shared" si="39"/>
        <v>2994.84</v>
      </c>
      <c r="H191" s="167">
        <v>36</v>
      </c>
      <c r="I191" s="168">
        <v>350</v>
      </c>
      <c r="J191" s="169"/>
      <c r="K191" s="31"/>
      <c r="L191" s="33">
        <f>240-60-180</f>
        <v>0</v>
      </c>
      <c r="M191" s="34">
        <v>180</v>
      </c>
      <c r="N191" s="35">
        <v>50</v>
      </c>
      <c r="O191" s="36"/>
      <c r="P191" s="37">
        <f t="shared" si="41"/>
        <v>230</v>
      </c>
    </row>
    <row r="192" spans="1:18" ht="14.25" hidden="1">
      <c r="A192" s="147">
        <v>6</v>
      </c>
      <c r="B192" s="163" t="s">
        <v>253</v>
      </c>
      <c r="C192" s="164" t="s">
        <v>20</v>
      </c>
      <c r="D192" s="165" t="s">
        <v>251</v>
      </c>
      <c r="E192" s="166">
        <v>45839</v>
      </c>
      <c r="F192" s="139">
        <v>633.99</v>
      </c>
      <c r="G192" s="144">
        <f t="shared" si="39"/>
        <v>0</v>
      </c>
      <c r="H192" s="167">
        <v>0</v>
      </c>
      <c r="I192" s="168">
        <v>0</v>
      </c>
      <c r="J192" s="31"/>
      <c r="K192" s="31"/>
      <c r="L192" s="33">
        <f>1000-1000</f>
        <v>0</v>
      </c>
      <c r="M192" s="34"/>
      <c r="N192" s="35">
        <v>0</v>
      </c>
      <c r="O192" s="36"/>
      <c r="P192" s="37">
        <f t="shared" si="41"/>
        <v>0</v>
      </c>
    </row>
    <row r="193" spans="1:16" ht="28.5" hidden="1">
      <c r="A193" s="147">
        <v>8</v>
      </c>
      <c r="B193" s="163" t="s">
        <v>254</v>
      </c>
      <c r="C193" s="164" t="s">
        <v>118</v>
      </c>
      <c r="D193" s="165" t="s">
        <v>37</v>
      </c>
      <c r="E193" s="166">
        <v>46054</v>
      </c>
      <c r="F193" s="139">
        <v>256.95999999999998</v>
      </c>
      <c r="G193" s="144">
        <f t="shared" si="39"/>
        <v>0</v>
      </c>
      <c r="H193" s="167">
        <v>0</v>
      </c>
      <c r="I193" s="168">
        <v>0</v>
      </c>
      <c r="J193" s="170"/>
      <c r="K193" s="31"/>
      <c r="L193" s="33">
        <v>0</v>
      </c>
      <c r="M193" s="34"/>
      <c r="N193" s="35">
        <v>0</v>
      </c>
      <c r="O193" s="36"/>
      <c r="P193" s="37">
        <f t="shared" si="41"/>
        <v>0</v>
      </c>
    </row>
    <row r="194" spans="1:16" ht="28.5">
      <c r="A194" s="147">
        <v>9</v>
      </c>
      <c r="B194" s="163" t="s">
        <v>254</v>
      </c>
      <c r="C194" s="164" t="s">
        <v>118</v>
      </c>
      <c r="D194" s="165" t="s">
        <v>231</v>
      </c>
      <c r="E194" s="166">
        <v>46296</v>
      </c>
      <c r="F194" s="139">
        <v>801.36</v>
      </c>
      <c r="G194" s="144">
        <f t="shared" si="39"/>
        <v>3205.44</v>
      </c>
      <c r="H194" s="167">
        <v>4</v>
      </c>
      <c r="I194" s="168">
        <v>60</v>
      </c>
      <c r="J194" s="169"/>
      <c r="K194" s="31"/>
      <c r="L194" s="33">
        <v>0</v>
      </c>
      <c r="M194" s="34"/>
      <c r="N194" s="35">
        <v>60</v>
      </c>
      <c r="O194" s="36"/>
      <c r="P194" s="37">
        <f t="shared" si="41"/>
        <v>60</v>
      </c>
    </row>
    <row r="195" spans="1:16" ht="14.25">
      <c r="A195" s="147">
        <v>10</v>
      </c>
      <c r="B195" s="163" t="s">
        <v>255</v>
      </c>
      <c r="C195" s="164" t="s">
        <v>20</v>
      </c>
      <c r="D195" s="165" t="s">
        <v>248</v>
      </c>
      <c r="E195" s="166">
        <v>46419</v>
      </c>
      <c r="F195" s="139">
        <v>205.6</v>
      </c>
      <c r="G195" s="144">
        <f t="shared" si="39"/>
        <v>411.2</v>
      </c>
      <c r="H195" s="167">
        <v>2</v>
      </c>
      <c r="I195" s="168">
        <v>130</v>
      </c>
      <c r="J195" s="169"/>
      <c r="K195" s="31"/>
      <c r="L195" s="33">
        <f>100-100</f>
        <v>0</v>
      </c>
      <c r="M195" s="34">
        <v>80</v>
      </c>
      <c r="N195" s="35"/>
      <c r="O195" s="36"/>
      <c r="P195" s="37">
        <f t="shared" si="41"/>
        <v>80</v>
      </c>
    </row>
    <row r="196" spans="1:16" ht="28.5">
      <c r="A196" s="147">
        <v>11</v>
      </c>
      <c r="B196" s="163" t="s">
        <v>256</v>
      </c>
      <c r="C196" s="164" t="s">
        <v>23</v>
      </c>
      <c r="D196" s="165" t="s">
        <v>101</v>
      </c>
      <c r="E196" s="166">
        <v>46357</v>
      </c>
      <c r="F196" s="139">
        <v>370</v>
      </c>
      <c r="G196" s="144">
        <f t="shared" si="39"/>
        <v>96200</v>
      </c>
      <c r="H196" s="167">
        <v>260</v>
      </c>
      <c r="I196" s="168"/>
      <c r="J196" s="31"/>
      <c r="K196" s="31"/>
      <c r="L196" s="33">
        <v>0</v>
      </c>
      <c r="M196" s="34">
        <v>200</v>
      </c>
      <c r="N196" s="35"/>
      <c r="O196" s="36"/>
      <c r="P196" s="37">
        <f t="shared" si="41"/>
        <v>200</v>
      </c>
    </row>
    <row r="197" spans="1:16" ht="15">
      <c r="A197" s="147">
        <v>12</v>
      </c>
      <c r="B197" s="171" t="s">
        <v>257</v>
      </c>
      <c r="C197" s="172" t="s">
        <v>20</v>
      </c>
      <c r="D197" s="173" t="s">
        <v>248</v>
      </c>
      <c r="E197" s="174">
        <v>46357</v>
      </c>
      <c r="F197" s="175">
        <v>51.54</v>
      </c>
      <c r="G197" s="144">
        <f t="shared" si="39"/>
        <v>103.08</v>
      </c>
      <c r="H197" s="154">
        <v>2</v>
      </c>
      <c r="I197" s="159">
        <v>190</v>
      </c>
      <c r="J197" s="156"/>
      <c r="K197" s="155"/>
      <c r="L197" s="157">
        <v>0</v>
      </c>
      <c r="M197" s="176">
        <v>80</v>
      </c>
      <c r="N197" s="35"/>
      <c r="O197" s="36"/>
      <c r="P197" s="37">
        <f t="shared" si="41"/>
        <v>80</v>
      </c>
    </row>
    <row r="198" spans="1:16" ht="30">
      <c r="A198" s="147">
        <v>13</v>
      </c>
      <c r="B198" s="171" t="s">
        <v>258</v>
      </c>
      <c r="C198" s="172" t="s">
        <v>20</v>
      </c>
      <c r="D198" s="173" t="s">
        <v>259</v>
      </c>
      <c r="E198" s="174">
        <v>46053</v>
      </c>
      <c r="F198" s="175">
        <v>28.966000000000001</v>
      </c>
      <c r="G198" s="144">
        <f t="shared" si="39"/>
        <v>289.66000000000003</v>
      </c>
      <c r="H198" s="154">
        <v>10</v>
      </c>
      <c r="I198" s="159">
        <v>280</v>
      </c>
      <c r="J198" s="155"/>
      <c r="K198" s="155"/>
      <c r="L198" s="157"/>
      <c r="M198" s="176"/>
      <c r="N198" s="35"/>
      <c r="O198" s="36"/>
      <c r="P198" s="37"/>
    </row>
    <row r="199" spans="1:16" ht="30">
      <c r="A199" s="147">
        <v>14</v>
      </c>
      <c r="B199" s="171" t="s">
        <v>260</v>
      </c>
      <c r="C199" s="172" t="s">
        <v>20</v>
      </c>
      <c r="D199" s="173" t="s">
        <v>261</v>
      </c>
      <c r="E199" s="174">
        <v>46023</v>
      </c>
      <c r="F199" s="175">
        <v>444.13900000000001</v>
      </c>
      <c r="G199" s="144">
        <f t="shared" si="39"/>
        <v>4441.3900000000003</v>
      </c>
      <c r="H199" s="154">
        <v>10</v>
      </c>
      <c r="I199" s="159">
        <v>980</v>
      </c>
      <c r="J199" s="155"/>
      <c r="K199" s="155"/>
      <c r="L199" s="157"/>
      <c r="M199" s="176"/>
      <c r="N199" s="35"/>
      <c r="O199" s="36"/>
      <c r="P199" s="37"/>
    </row>
    <row r="200" spans="1:16" ht="30" hidden="1">
      <c r="A200" s="147">
        <v>15</v>
      </c>
      <c r="B200" s="177" t="s">
        <v>262</v>
      </c>
      <c r="C200" s="172" t="s">
        <v>23</v>
      </c>
      <c r="D200" s="173" t="s">
        <v>263</v>
      </c>
      <c r="E200" s="174">
        <v>45962</v>
      </c>
      <c r="F200" s="175">
        <v>200</v>
      </c>
      <c r="G200" s="144">
        <f t="shared" si="39"/>
        <v>0</v>
      </c>
      <c r="H200" s="154">
        <v>0</v>
      </c>
      <c r="I200" s="155"/>
      <c r="J200" s="155"/>
      <c r="K200" s="155"/>
      <c r="L200" s="157">
        <v>0</v>
      </c>
      <c r="M200" s="176"/>
      <c r="N200" s="35">
        <v>0</v>
      </c>
      <c r="O200" s="36"/>
      <c r="P200" s="37">
        <f t="shared" ref="P200:P203" si="42">L200+M200+N200</f>
        <v>0</v>
      </c>
    </row>
    <row r="201" spans="1:16" ht="45">
      <c r="A201" s="147">
        <v>16</v>
      </c>
      <c r="B201" s="177" t="s">
        <v>264</v>
      </c>
      <c r="C201" s="149" t="s">
        <v>23</v>
      </c>
      <c r="D201" s="158" t="s">
        <v>263</v>
      </c>
      <c r="E201" s="150"/>
      <c r="F201" s="152">
        <v>200</v>
      </c>
      <c r="G201" s="153">
        <f t="shared" si="39"/>
        <v>4800</v>
      </c>
      <c r="H201" s="162">
        <v>24</v>
      </c>
      <c r="I201" s="155"/>
      <c r="J201" s="155"/>
      <c r="K201" s="155"/>
      <c r="L201" s="157">
        <v>0</v>
      </c>
      <c r="M201" s="176">
        <v>0</v>
      </c>
      <c r="N201" s="178"/>
      <c r="O201" s="155"/>
      <c r="P201" s="37">
        <f t="shared" si="42"/>
        <v>0</v>
      </c>
    </row>
    <row r="202" spans="1:16" ht="15" hidden="1">
      <c r="A202" s="147">
        <v>19</v>
      </c>
      <c r="B202" s="177" t="s">
        <v>265</v>
      </c>
      <c r="C202" s="172" t="s">
        <v>266</v>
      </c>
      <c r="D202" s="173"/>
      <c r="E202" s="179">
        <v>46174</v>
      </c>
      <c r="F202" s="175">
        <v>18.690000000000001</v>
      </c>
      <c r="G202" s="144">
        <f t="shared" si="39"/>
        <v>0</v>
      </c>
      <c r="H202" s="154">
        <v>0</v>
      </c>
      <c r="I202" s="155"/>
      <c r="J202" s="156"/>
      <c r="K202" s="155"/>
      <c r="L202" s="157">
        <v>0</v>
      </c>
      <c r="M202" s="176"/>
      <c r="N202" s="180">
        <v>0</v>
      </c>
      <c r="O202" s="155"/>
      <c r="P202" s="37">
        <f t="shared" si="42"/>
        <v>0</v>
      </c>
    </row>
    <row r="203" spans="1:16" ht="15" hidden="1">
      <c r="A203" s="147">
        <v>18</v>
      </c>
      <c r="B203" s="177" t="s">
        <v>267</v>
      </c>
      <c r="C203" s="172" t="s">
        <v>266</v>
      </c>
      <c r="D203" s="173"/>
      <c r="E203" s="179">
        <v>45870</v>
      </c>
      <c r="F203" s="175">
        <v>22.77</v>
      </c>
      <c r="G203" s="144">
        <f t="shared" si="39"/>
        <v>0</v>
      </c>
      <c r="H203" s="154">
        <v>0</v>
      </c>
      <c r="I203" s="155"/>
      <c r="J203" s="156"/>
      <c r="K203" s="155"/>
      <c r="L203" s="157">
        <v>0</v>
      </c>
      <c r="M203" s="176">
        <v>0</v>
      </c>
      <c r="N203" s="180"/>
      <c r="O203" s="155"/>
      <c r="P203" s="37">
        <f t="shared" si="42"/>
        <v>0</v>
      </c>
    </row>
    <row r="204" spans="1:16" ht="15">
      <c r="A204" s="147">
        <v>20</v>
      </c>
      <c r="B204" s="177" t="s">
        <v>268</v>
      </c>
      <c r="C204" s="172" t="s">
        <v>47</v>
      </c>
      <c r="D204" s="173" t="s">
        <v>248</v>
      </c>
      <c r="E204" s="181"/>
      <c r="F204" s="175">
        <v>1208.98</v>
      </c>
      <c r="G204" s="144">
        <f t="shared" si="39"/>
        <v>1208.98</v>
      </c>
      <c r="H204" s="154">
        <v>1</v>
      </c>
      <c r="I204" s="159">
        <v>100</v>
      </c>
      <c r="J204" s="155"/>
      <c r="K204" s="155"/>
      <c r="L204" s="157">
        <f>100-100</f>
        <v>0</v>
      </c>
      <c r="M204" s="176">
        <v>100</v>
      </c>
      <c r="N204" s="180"/>
      <c r="O204" s="155"/>
      <c r="P204" s="37"/>
    </row>
    <row r="205" spans="1:16" ht="15" hidden="1">
      <c r="A205" s="147">
        <v>21</v>
      </c>
      <c r="B205" s="177" t="s">
        <v>269</v>
      </c>
      <c r="C205" s="172" t="s">
        <v>20</v>
      </c>
      <c r="D205" s="173" t="s">
        <v>248</v>
      </c>
      <c r="E205" s="174">
        <v>45962</v>
      </c>
      <c r="F205" s="175">
        <v>50</v>
      </c>
      <c r="G205" s="144">
        <f t="shared" si="39"/>
        <v>0</v>
      </c>
      <c r="H205" s="154">
        <v>0</v>
      </c>
      <c r="I205" s="159"/>
      <c r="J205" s="155"/>
      <c r="K205" s="155"/>
      <c r="L205" s="157">
        <v>0</v>
      </c>
      <c r="M205" s="176">
        <v>0</v>
      </c>
      <c r="N205" s="180"/>
      <c r="O205" s="155"/>
      <c r="P205" s="37">
        <f t="shared" ref="P205:P211" si="43">L205+M205+N205</f>
        <v>0</v>
      </c>
    </row>
    <row r="206" spans="1:16" ht="15" hidden="1">
      <c r="A206" s="147">
        <v>22</v>
      </c>
      <c r="B206" s="177" t="s">
        <v>270</v>
      </c>
      <c r="C206" s="172" t="s">
        <v>20</v>
      </c>
      <c r="D206" s="173" t="s">
        <v>241</v>
      </c>
      <c r="E206" s="174">
        <v>45931</v>
      </c>
      <c r="F206" s="175">
        <v>220.67</v>
      </c>
      <c r="G206" s="144">
        <f t="shared" si="39"/>
        <v>0</v>
      </c>
      <c r="H206" s="154">
        <v>0</v>
      </c>
      <c r="I206" s="155"/>
      <c r="J206" s="155"/>
      <c r="K206" s="155"/>
      <c r="L206" s="157">
        <v>0</v>
      </c>
      <c r="M206" s="176"/>
      <c r="N206" s="180">
        <v>0</v>
      </c>
      <c r="O206" s="155"/>
      <c r="P206" s="37">
        <f t="shared" si="43"/>
        <v>0</v>
      </c>
    </row>
    <row r="207" spans="1:16" ht="30">
      <c r="A207" s="147">
        <v>23</v>
      </c>
      <c r="B207" s="177" t="s">
        <v>271</v>
      </c>
      <c r="C207" s="172" t="s">
        <v>20</v>
      </c>
      <c r="D207" s="173" t="s">
        <v>241</v>
      </c>
      <c r="E207" s="174">
        <v>45992</v>
      </c>
      <c r="F207" s="175">
        <v>276.39</v>
      </c>
      <c r="G207" s="144">
        <f t="shared" si="39"/>
        <v>12161.16</v>
      </c>
      <c r="H207" s="154">
        <v>44</v>
      </c>
      <c r="I207" s="155"/>
      <c r="J207" s="155"/>
      <c r="K207" s="155"/>
      <c r="L207" s="157">
        <v>0</v>
      </c>
      <c r="M207" s="176">
        <v>14</v>
      </c>
      <c r="N207" s="180"/>
      <c r="O207" s="155"/>
      <c r="P207" s="37">
        <f t="shared" si="43"/>
        <v>14</v>
      </c>
    </row>
    <row r="208" spans="1:16" ht="45">
      <c r="A208" s="147">
        <v>24</v>
      </c>
      <c r="B208" s="177" t="s">
        <v>272</v>
      </c>
      <c r="C208" s="149" t="s">
        <v>23</v>
      </c>
      <c r="D208" s="158" t="s">
        <v>273</v>
      </c>
      <c r="E208" s="182">
        <v>45962</v>
      </c>
      <c r="F208" s="152">
        <v>200</v>
      </c>
      <c r="G208" s="153">
        <f t="shared" si="39"/>
        <v>107200</v>
      </c>
      <c r="H208" s="162">
        <v>536</v>
      </c>
      <c r="I208" s="155"/>
      <c r="J208" s="155"/>
      <c r="K208" s="155"/>
      <c r="L208" s="157">
        <v>0</v>
      </c>
      <c r="M208" s="176">
        <v>145</v>
      </c>
      <c r="N208" s="180">
        <v>0</v>
      </c>
      <c r="O208" s="155"/>
      <c r="P208" s="37">
        <f t="shared" si="43"/>
        <v>145</v>
      </c>
    </row>
    <row r="209" spans="1:16" ht="45">
      <c r="A209" s="147">
        <v>25</v>
      </c>
      <c r="B209" s="177" t="s">
        <v>274</v>
      </c>
      <c r="C209" s="164" t="s">
        <v>23</v>
      </c>
      <c r="D209" s="165" t="s">
        <v>275</v>
      </c>
      <c r="E209" s="166">
        <v>46082</v>
      </c>
      <c r="F209" s="139">
        <v>200</v>
      </c>
      <c r="G209" s="153">
        <f t="shared" si="39"/>
        <v>33000</v>
      </c>
      <c r="H209" s="167">
        <v>165</v>
      </c>
      <c r="I209" s="168"/>
      <c r="J209" s="31"/>
      <c r="K209" s="31"/>
      <c r="L209" s="33">
        <v>0</v>
      </c>
      <c r="M209" s="34">
        <v>48</v>
      </c>
      <c r="N209" s="35">
        <v>0</v>
      </c>
      <c r="O209" s="36"/>
      <c r="P209" s="37">
        <f t="shared" si="43"/>
        <v>48</v>
      </c>
    </row>
    <row r="210" spans="1:16" ht="45">
      <c r="A210" s="147"/>
      <c r="B210" s="177" t="s">
        <v>274</v>
      </c>
      <c r="C210" s="172" t="s">
        <v>23</v>
      </c>
      <c r="D210" s="173" t="s">
        <v>275</v>
      </c>
      <c r="E210" s="179">
        <v>46082</v>
      </c>
      <c r="F210" s="175">
        <v>200</v>
      </c>
      <c r="G210" s="153">
        <f t="shared" si="39"/>
        <v>62400</v>
      </c>
      <c r="H210" s="154">
        <v>312</v>
      </c>
      <c r="I210" s="155"/>
      <c r="J210" s="155"/>
      <c r="K210" s="155"/>
      <c r="L210" s="157"/>
      <c r="M210" s="176">
        <v>212</v>
      </c>
      <c r="N210" s="180">
        <v>100</v>
      </c>
      <c r="O210" s="36"/>
      <c r="P210" s="37">
        <f t="shared" si="43"/>
        <v>312</v>
      </c>
    </row>
    <row r="211" spans="1:16" ht="15">
      <c r="A211" s="147">
        <v>26</v>
      </c>
      <c r="B211" s="177" t="s">
        <v>276</v>
      </c>
      <c r="C211" s="149" t="s">
        <v>20</v>
      </c>
      <c r="D211" s="183"/>
      <c r="E211" s="150"/>
      <c r="F211" s="152">
        <v>50</v>
      </c>
      <c r="G211" s="153">
        <f t="shared" si="39"/>
        <v>81200</v>
      </c>
      <c r="H211" s="162">
        <v>1624</v>
      </c>
      <c r="I211" s="155"/>
      <c r="J211" s="155"/>
      <c r="K211" s="155"/>
      <c r="L211" s="157">
        <v>0</v>
      </c>
      <c r="M211" s="176">
        <v>1105</v>
      </c>
      <c r="N211" s="178"/>
      <c r="O211" s="36"/>
      <c r="P211" s="37">
        <f t="shared" si="43"/>
        <v>1105</v>
      </c>
    </row>
    <row r="212" spans="1:16" ht="14.25">
      <c r="A212" s="147"/>
      <c r="B212" s="184" t="s">
        <v>277</v>
      </c>
      <c r="C212" s="172" t="s">
        <v>118</v>
      </c>
      <c r="D212" s="173" t="s">
        <v>278</v>
      </c>
      <c r="E212" s="185"/>
      <c r="F212" s="175">
        <v>1300</v>
      </c>
      <c r="G212" s="153">
        <f t="shared" si="39"/>
        <v>130000</v>
      </c>
      <c r="H212" s="154">
        <v>100</v>
      </c>
      <c r="I212" s="155"/>
      <c r="J212" s="155"/>
      <c r="K212" s="155"/>
      <c r="L212" s="157"/>
      <c r="M212" s="176">
        <v>100</v>
      </c>
      <c r="N212" s="178"/>
      <c r="O212" s="36"/>
      <c r="P212" s="37"/>
    </row>
    <row r="213" spans="1:16" ht="14.25">
      <c r="A213" s="147">
        <v>27</v>
      </c>
      <c r="B213" s="163" t="s">
        <v>279</v>
      </c>
      <c r="C213" s="164" t="s">
        <v>20</v>
      </c>
      <c r="D213" s="165" t="s">
        <v>40</v>
      </c>
      <c r="E213" s="166">
        <v>46569</v>
      </c>
      <c r="F213" s="139">
        <v>47.22</v>
      </c>
      <c r="G213" s="153">
        <f t="shared" si="39"/>
        <v>14166</v>
      </c>
      <c r="H213" s="167">
        <v>300</v>
      </c>
      <c r="I213" s="168">
        <v>6004</v>
      </c>
      <c r="J213" s="169"/>
      <c r="K213" s="31"/>
      <c r="L213" s="33">
        <f>6000-300*20</f>
        <v>0</v>
      </c>
      <c r="M213" s="34">
        <v>4140</v>
      </c>
      <c r="N213" s="35">
        <v>0</v>
      </c>
      <c r="O213" s="36"/>
      <c r="P213" s="37">
        <f t="shared" ref="P213:P215" si="44">L213+M213+N213</f>
        <v>4140</v>
      </c>
    </row>
    <row r="214" spans="1:16" ht="17.25" customHeight="1">
      <c r="A214" s="147">
        <v>28</v>
      </c>
      <c r="B214" s="163" t="s">
        <v>280</v>
      </c>
      <c r="C214" s="164" t="s">
        <v>20</v>
      </c>
      <c r="D214" s="165" t="s">
        <v>248</v>
      </c>
      <c r="E214" s="166">
        <v>46784</v>
      </c>
      <c r="F214" s="139">
        <v>134.38</v>
      </c>
      <c r="G214" s="153">
        <f t="shared" si="39"/>
        <v>2553.2199999999998</v>
      </c>
      <c r="H214" s="167">
        <v>19</v>
      </c>
      <c r="I214" s="168">
        <v>1900</v>
      </c>
      <c r="J214" s="169"/>
      <c r="K214" s="31"/>
      <c r="L214" s="33">
        <f>500-500</f>
        <v>0</v>
      </c>
      <c r="M214" s="34">
        <v>1500</v>
      </c>
      <c r="N214" s="35"/>
      <c r="O214" s="36"/>
      <c r="P214" s="37">
        <f t="shared" si="44"/>
        <v>1500</v>
      </c>
    </row>
    <row r="215" spans="1:16" ht="14.25">
      <c r="A215" s="147">
        <v>29</v>
      </c>
      <c r="B215" s="163" t="s">
        <v>281</v>
      </c>
      <c r="C215" s="164" t="s">
        <v>266</v>
      </c>
      <c r="D215" s="165"/>
      <c r="E215" s="166">
        <v>46447</v>
      </c>
      <c r="F215" s="139">
        <v>19.71</v>
      </c>
      <c r="G215" s="153">
        <f t="shared" si="39"/>
        <v>1773.9</v>
      </c>
      <c r="H215" s="167">
        <v>90</v>
      </c>
      <c r="I215" s="168"/>
      <c r="J215" s="169"/>
      <c r="K215" s="31"/>
      <c r="L215" s="33">
        <v>0</v>
      </c>
      <c r="M215" s="34">
        <v>55</v>
      </c>
      <c r="N215" s="35">
        <v>0</v>
      </c>
      <c r="O215" s="36"/>
      <c r="P215" s="37">
        <f t="shared" si="44"/>
        <v>55</v>
      </c>
    </row>
    <row r="216" spans="1:16" ht="28.5">
      <c r="A216" s="147"/>
      <c r="B216" s="186" t="s">
        <v>282</v>
      </c>
      <c r="C216" s="164" t="s">
        <v>118</v>
      </c>
      <c r="D216" s="165" t="s">
        <v>40</v>
      </c>
      <c r="E216" s="166"/>
      <c r="F216" s="139">
        <v>270</v>
      </c>
      <c r="G216" s="153">
        <f t="shared" si="39"/>
        <v>18900</v>
      </c>
      <c r="H216" s="167">
        <v>70</v>
      </c>
      <c r="I216" s="168"/>
      <c r="J216" s="169"/>
      <c r="K216" s="31"/>
      <c r="L216" s="33"/>
      <c r="M216" s="34">
        <v>70</v>
      </c>
      <c r="N216" s="35"/>
      <c r="O216" s="36"/>
      <c r="P216" s="37"/>
    </row>
    <row r="217" spans="1:16" ht="14.25">
      <c r="A217" s="147">
        <v>30</v>
      </c>
      <c r="B217" s="163" t="s">
        <v>283</v>
      </c>
      <c r="C217" s="164" t="s">
        <v>20</v>
      </c>
      <c r="D217" s="165" t="s">
        <v>248</v>
      </c>
      <c r="E217" s="166">
        <v>46235</v>
      </c>
      <c r="F217" s="139">
        <v>94.96</v>
      </c>
      <c r="G217" s="144">
        <f t="shared" si="39"/>
        <v>10065.76</v>
      </c>
      <c r="H217" s="167">
        <v>106</v>
      </c>
      <c r="I217" s="168">
        <v>10600</v>
      </c>
      <c r="J217" s="169"/>
      <c r="K217" s="31"/>
      <c r="L217" s="33">
        <f>100*100-10000</f>
        <v>0</v>
      </c>
      <c r="M217" s="34">
        <v>9100</v>
      </c>
      <c r="N217" s="35"/>
      <c r="O217" s="36"/>
      <c r="P217" s="37">
        <f t="shared" ref="P217:P218" si="45">L217+M217+N217</f>
        <v>9100</v>
      </c>
    </row>
    <row r="218" spans="1:16" ht="14.25">
      <c r="A218" s="147">
        <v>31</v>
      </c>
      <c r="B218" s="163" t="s">
        <v>284</v>
      </c>
      <c r="C218" s="164" t="s">
        <v>20</v>
      </c>
      <c r="D218" s="165" t="s">
        <v>40</v>
      </c>
      <c r="E218" s="166">
        <v>46113</v>
      </c>
      <c r="F218" s="139">
        <v>98.93</v>
      </c>
      <c r="G218" s="144">
        <f t="shared" si="39"/>
        <v>20577.440000000002</v>
      </c>
      <c r="H218" s="167">
        <v>208</v>
      </c>
      <c r="I218" s="168">
        <v>4160</v>
      </c>
      <c r="J218" s="169"/>
      <c r="K218" s="31"/>
      <c r="L218" s="33">
        <f>4000-200*20</f>
        <v>0</v>
      </c>
      <c r="M218" s="34">
        <v>3260</v>
      </c>
      <c r="N218" s="35"/>
      <c r="O218" s="36"/>
      <c r="P218" s="37">
        <f t="shared" si="45"/>
        <v>3260</v>
      </c>
    </row>
    <row r="219" spans="1:16" ht="14.25">
      <c r="A219" s="147"/>
      <c r="B219" s="187" t="s">
        <v>285</v>
      </c>
      <c r="C219" s="164" t="s">
        <v>23</v>
      </c>
      <c r="D219" s="165" t="s">
        <v>286</v>
      </c>
      <c r="E219" s="166"/>
      <c r="F219" s="139">
        <v>200</v>
      </c>
      <c r="G219" s="144">
        <f t="shared" si="39"/>
        <v>21800</v>
      </c>
      <c r="H219" s="167">
        <v>109</v>
      </c>
      <c r="I219" s="168"/>
      <c r="J219" s="169"/>
      <c r="K219" s="31"/>
      <c r="L219" s="33"/>
      <c r="M219" s="34">
        <v>80</v>
      </c>
      <c r="N219" s="35">
        <v>29</v>
      </c>
      <c r="O219" s="36"/>
      <c r="P219" s="37"/>
    </row>
    <row r="220" spans="1:16" ht="28.5">
      <c r="A220" s="147">
        <v>32</v>
      </c>
      <c r="B220" s="163" t="s">
        <v>287</v>
      </c>
      <c r="C220" s="164" t="s">
        <v>20</v>
      </c>
      <c r="D220" s="165" t="s">
        <v>37</v>
      </c>
      <c r="E220" s="166"/>
      <c r="F220" s="139">
        <v>314.45</v>
      </c>
      <c r="G220" s="144">
        <f t="shared" si="39"/>
        <v>943.34999999999991</v>
      </c>
      <c r="H220" s="167">
        <v>3</v>
      </c>
      <c r="I220" s="168">
        <v>30</v>
      </c>
      <c r="J220" s="169"/>
      <c r="K220" s="31"/>
      <c r="L220" s="33">
        <v>0</v>
      </c>
      <c r="M220" s="34"/>
      <c r="N220" s="35">
        <v>30</v>
      </c>
      <c r="O220" s="36"/>
      <c r="P220" s="37"/>
    </row>
    <row r="221" spans="1:16" ht="14.25">
      <c r="A221" s="147">
        <v>33</v>
      </c>
      <c r="B221" s="163" t="s">
        <v>288</v>
      </c>
      <c r="C221" s="164" t="s">
        <v>20</v>
      </c>
      <c r="D221" s="165" t="s">
        <v>251</v>
      </c>
      <c r="E221" s="166">
        <v>46722</v>
      </c>
      <c r="F221" s="139">
        <v>473.92</v>
      </c>
      <c r="G221" s="144">
        <f t="shared" si="39"/>
        <v>12321.92</v>
      </c>
      <c r="H221" s="167">
        <v>26</v>
      </c>
      <c r="I221" s="168">
        <v>26000</v>
      </c>
      <c r="J221" s="169"/>
      <c r="K221" s="31"/>
      <c r="L221" s="33">
        <f>21000-21*1000</f>
        <v>0</v>
      </c>
      <c r="M221" s="34">
        <f>5000+21*1000</f>
        <v>26000</v>
      </c>
      <c r="N221" s="35">
        <v>0</v>
      </c>
      <c r="O221" s="36"/>
      <c r="P221" s="37">
        <f t="shared" ref="P221:P223" si="46">L221+M221+N221</f>
        <v>26000</v>
      </c>
    </row>
    <row r="222" spans="1:16" ht="14.25">
      <c r="A222" s="147">
        <v>34</v>
      </c>
      <c r="B222" s="163" t="s">
        <v>289</v>
      </c>
      <c r="C222" s="164" t="s">
        <v>20</v>
      </c>
      <c r="D222" s="165" t="s">
        <v>251</v>
      </c>
      <c r="E222" s="166">
        <v>46388</v>
      </c>
      <c r="F222" s="139">
        <v>520.04999999999995</v>
      </c>
      <c r="G222" s="144">
        <f t="shared" si="39"/>
        <v>10401</v>
      </c>
      <c r="H222" s="167">
        <v>20</v>
      </c>
      <c r="I222" s="168">
        <v>19390</v>
      </c>
      <c r="J222" s="169"/>
      <c r="K222" s="31"/>
      <c r="L222" s="33">
        <f>5000-5000</f>
        <v>0</v>
      </c>
      <c r="M222" s="34">
        <v>14230</v>
      </c>
      <c r="N222" s="35"/>
      <c r="O222" s="36"/>
      <c r="P222" s="37">
        <f t="shared" si="46"/>
        <v>14230</v>
      </c>
    </row>
    <row r="223" spans="1:16" ht="14.25">
      <c r="A223" s="147">
        <v>35</v>
      </c>
      <c r="B223" s="163" t="s">
        <v>290</v>
      </c>
      <c r="C223" s="164" t="s">
        <v>20</v>
      </c>
      <c r="D223" s="165" t="s">
        <v>71</v>
      </c>
      <c r="E223" s="166">
        <v>47119</v>
      </c>
      <c r="F223" s="139">
        <v>103.43</v>
      </c>
      <c r="G223" s="144">
        <f t="shared" si="39"/>
        <v>310.29000000000002</v>
      </c>
      <c r="H223" s="167">
        <v>3</v>
      </c>
      <c r="I223" s="168">
        <v>150</v>
      </c>
      <c r="J223" s="169"/>
      <c r="K223" s="31"/>
      <c r="L223" s="33">
        <v>0</v>
      </c>
      <c r="M223" s="34">
        <v>150</v>
      </c>
      <c r="N223" s="35"/>
      <c r="O223" s="36"/>
      <c r="P223" s="37">
        <f t="shared" si="46"/>
        <v>150</v>
      </c>
    </row>
    <row r="224" spans="1:16" ht="14.25">
      <c r="A224" s="147"/>
      <c r="B224" s="188" t="s">
        <v>291</v>
      </c>
      <c r="C224" s="164" t="s">
        <v>20</v>
      </c>
      <c r="D224" s="165" t="s">
        <v>248</v>
      </c>
      <c r="E224" s="166"/>
      <c r="F224" s="139">
        <v>230</v>
      </c>
      <c r="G224" s="144">
        <f t="shared" si="39"/>
        <v>69000</v>
      </c>
      <c r="H224" s="167">
        <v>300</v>
      </c>
      <c r="I224" s="168">
        <v>30000</v>
      </c>
      <c r="J224" s="169"/>
      <c r="K224" s="31"/>
      <c r="L224" s="33"/>
      <c r="M224" s="34">
        <v>300</v>
      </c>
      <c r="N224" s="35"/>
      <c r="O224" s="36"/>
      <c r="P224" s="37"/>
    </row>
    <row r="225" spans="1:16" ht="14.25">
      <c r="A225" s="147">
        <v>36</v>
      </c>
      <c r="B225" s="163" t="s">
        <v>292</v>
      </c>
      <c r="C225" s="164" t="s">
        <v>118</v>
      </c>
      <c r="D225" s="165"/>
      <c r="E225" s="166">
        <v>46327</v>
      </c>
      <c r="F225" s="139">
        <v>37.630000000000003</v>
      </c>
      <c r="G225" s="144">
        <f t="shared" si="39"/>
        <v>7902.3</v>
      </c>
      <c r="H225" s="167">
        <v>210</v>
      </c>
      <c r="I225" s="168"/>
      <c r="J225" s="169"/>
      <c r="K225" s="31"/>
      <c r="L225" s="33"/>
      <c r="M225" s="34">
        <v>75</v>
      </c>
      <c r="N225" s="35">
        <v>74</v>
      </c>
      <c r="O225" s="36"/>
      <c r="P225" s="37">
        <f t="shared" ref="P225:P226" si="47">L225+M225+N225</f>
        <v>149</v>
      </c>
    </row>
    <row r="226" spans="1:16" ht="28.5" hidden="1">
      <c r="A226" s="147">
        <v>37</v>
      </c>
      <c r="B226" s="163" t="s">
        <v>293</v>
      </c>
      <c r="C226" s="164" t="s">
        <v>20</v>
      </c>
      <c r="D226" s="165" t="s">
        <v>248</v>
      </c>
      <c r="E226" s="166">
        <v>45901</v>
      </c>
      <c r="F226" s="139">
        <v>1537</v>
      </c>
      <c r="G226" s="144">
        <f t="shared" si="39"/>
        <v>0</v>
      </c>
      <c r="H226" s="167">
        <v>0</v>
      </c>
      <c r="I226" s="168">
        <v>0</v>
      </c>
      <c r="J226" s="169"/>
      <c r="K226" s="31"/>
      <c r="L226" s="33">
        <v>0</v>
      </c>
      <c r="M226" s="34">
        <v>0</v>
      </c>
      <c r="N226" s="35"/>
      <c r="O226" s="36"/>
      <c r="P226" s="37">
        <f t="shared" si="47"/>
        <v>0</v>
      </c>
    </row>
    <row r="227" spans="1:16" ht="28.5">
      <c r="A227" s="147">
        <v>38</v>
      </c>
      <c r="B227" s="163" t="s">
        <v>294</v>
      </c>
      <c r="C227" s="164" t="s">
        <v>20</v>
      </c>
      <c r="D227" s="165" t="s">
        <v>248</v>
      </c>
      <c r="E227" s="166"/>
      <c r="F227" s="139">
        <v>1575.02</v>
      </c>
      <c r="G227" s="144">
        <f t="shared" si="39"/>
        <v>4725.0599999999995</v>
      </c>
      <c r="H227" s="167">
        <v>3</v>
      </c>
      <c r="I227" s="168">
        <v>300</v>
      </c>
      <c r="J227" s="169"/>
      <c r="K227" s="31"/>
      <c r="L227" s="33">
        <v>0</v>
      </c>
      <c r="M227" s="34">
        <v>300</v>
      </c>
      <c r="N227" s="35"/>
      <c r="O227" s="36"/>
      <c r="P227" s="37"/>
    </row>
    <row r="228" spans="1:16" ht="14.25">
      <c r="A228" s="147">
        <v>39</v>
      </c>
      <c r="B228" s="163" t="s">
        <v>295</v>
      </c>
      <c r="C228" s="164" t="s">
        <v>20</v>
      </c>
      <c r="D228" s="165" t="s">
        <v>261</v>
      </c>
      <c r="E228" s="166">
        <v>46053</v>
      </c>
      <c r="F228" s="139">
        <v>101.38</v>
      </c>
      <c r="G228" s="144">
        <f t="shared" si="39"/>
        <v>506.9</v>
      </c>
      <c r="H228" s="167">
        <v>5</v>
      </c>
      <c r="I228" s="168">
        <v>490</v>
      </c>
      <c r="J228" s="169"/>
      <c r="K228" s="31"/>
      <c r="L228" s="33"/>
      <c r="M228" s="34"/>
      <c r="N228" s="35"/>
      <c r="O228" s="36"/>
      <c r="P228" s="37"/>
    </row>
    <row r="229" spans="1:16" ht="14.25">
      <c r="A229" s="147">
        <v>40</v>
      </c>
      <c r="B229" s="163" t="s">
        <v>296</v>
      </c>
      <c r="C229" s="164" t="s">
        <v>20</v>
      </c>
      <c r="D229" s="165" t="s">
        <v>261</v>
      </c>
      <c r="E229" s="166">
        <v>46053</v>
      </c>
      <c r="F229" s="139">
        <v>108.13800000000001</v>
      </c>
      <c r="G229" s="144">
        <f t="shared" si="39"/>
        <v>540.69000000000005</v>
      </c>
      <c r="H229" s="167">
        <v>5</v>
      </c>
      <c r="I229" s="168">
        <v>490</v>
      </c>
      <c r="J229" s="169"/>
      <c r="K229" s="31"/>
      <c r="L229" s="33"/>
      <c r="M229" s="34"/>
      <c r="N229" s="35"/>
      <c r="O229" s="36"/>
      <c r="P229" s="37"/>
    </row>
    <row r="230" spans="1:16" ht="14.25">
      <c r="A230" s="147">
        <v>41</v>
      </c>
      <c r="B230" s="163" t="s">
        <v>297</v>
      </c>
      <c r="C230" s="164" t="s">
        <v>20</v>
      </c>
      <c r="D230" s="165" t="s">
        <v>261</v>
      </c>
      <c r="E230" s="166">
        <v>46023</v>
      </c>
      <c r="F230" s="139">
        <v>137.58600000000001</v>
      </c>
      <c r="G230" s="144">
        <f t="shared" si="39"/>
        <v>687.93000000000006</v>
      </c>
      <c r="H230" s="167">
        <v>5</v>
      </c>
      <c r="I230" s="168">
        <v>490</v>
      </c>
      <c r="J230" s="169"/>
      <c r="K230" s="31"/>
      <c r="L230" s="33"/>
      <c r="M230" s="34"/>
      <c r="N230" s="35"/>
      <c r="O230" s="36"/>
      <c r="P230" s="37"/>
    </row>
    <row r="231" spans="1:16" ht="14.25">
      <c r="A231" s="147">
        <v>42</v>
      </c>
      <c r="B231" s="163" t="s">
        <v>298</v>
      </c>
      <c r="C231" s="164" t="s">
        <v>20</v>
      </c>
      <c r="D231" s="165" t="s">
        <v>261</v>
      </c>
      <c r="E231" s="166">
        <v>46023</v>
      </c>
      <c r="F231" s="139">
        <v>292.07</v>
      </c>
      <c r="G231" s="144">
        <f t="shared" si="39"/>
        <v>2920.7</v>
      </c>
      <c r="H231" s="167">
        <v>10</v>
      </c>
      <c r="I231" s="168">
        <v>980</v>
      </c>
      <c r="J231" s="169"/>
      <c r="K231" s="31"/>
      <c r="L231" s="33"/>
      <c r="M231" s="34"/>
      <c r="N231" s="35"/>
      <c r="O231" s="36"/>
      <c r="P231" s="37"/>
    </row>
    <row r="232" spans="1:16" ht="28.5">
      <c r="A232" s="147">
        <v>43</v>
      </c>
      <c r="B232" s="163" t="s">
        <v>299</v>
      </c>
      <c r="C232" s="164" t="s">
        <v>20</v>
      </c>
      <c r="D232" s="165" t="s">
        <v>248</v>
      </c>
      <c r="E232" s="166">
        <v>46082</v>
      </c>
      <c r="F232" s="139">
        <v>45.69</v>
      </c>
      <c r="G232" s="144">
        <f t="shared" si="39"/>
        <v>6944.8799999999992</v>
      </c>
      <c r="H232" s="167">
        <v>152</v>
      </c>
      <c r="I232" s="168">
        <v>15200</v>
      </c>
      <c r="J232" s="169"/>
      <c r="K232" s="31"/>
      <c r="L232" s="33">
        <f>15000-150*100</f>
        <v>0</v>
      </c>
      <c r="M232" s="34">
        <v>12630</v>
      </c>
      <c r="N232" s="35"/>
      <c r="O232" s="36"/>
      <c r="P232" s="37">
        <f t="shared" ref="P232:P235" si="48">L232+M232+N232</f>
        <v>12630</v>
      </c>
    </row>
    <row r="233" spans="1:16" ht="14.25">
      <c r="A233" s="147">
        <v>44</v>
      </c>
      <c r="B233" s="163" t="s">
        <v>300</v>
      </c>
      <c r="C233" s="164" t="s">
        <v>20</v>
      </c>
      <c r="D233" s="165" t="s">
        <v>259</v>
      </c>
      <c r="E233" s="166">
        <v>46023</v>
      </c>
      <c r="F233" s="139">
        <v>76.900000000000006</v>
      </c>
      <c r="G233" s="144">
        <f t="shared" si="39"/>
        <v>7305.5000000000009</v>
      </c>
      <c r="H233" s="167">
        <v>95</v>
      </c>
      <c r="I233" s="168">
        <v>2660</v>
      </c>
      <c r="J233" s="169"/>
      <c r="K233" s="31"/>
      <c r="L233" s="33">
        <f>85*28-85*28</f>
        <v>0</v>
      </c>
      <c r="M233" s="34">
        <v>1708</v>
      </c>
      <c r="N233" s="35"/>
      <c r="O233" s="36"/>
      <c r="P233" s="37">
        <f t="shared" si="48"/>
        <v>1708</v>
      </c>
    </row>
    <row r="234" spans="1:16" ht="28.5">
      <c r="A234" s="147">
        <v>45</v>
      </c>
      <c r="B234" s="163" t="s">
        <v>301</v>
      </c>
      <c r="C234" s="164" t="s">
        <v>20</v>
      </c>
      <c r="D234" s="165" t="s">
        <v>259</v>
      </c>
      <c r="E234" s="166">
        <v>45962</v>
      </c>
      <c r="F234" s="139">
        <v>250</v>
      </c>
      <c r="G234" s="144">
        <f t="shared" si="39"/>
        <v>20000</v>
      </c>
      <c r="H234" s="167">
        <v>80</v>
      </c>
      <c r="I234" s="168"/>
      <c r="J234" s="31"/>
      <c r="K234" s="31"/>
      <c r="L234" s="33">
        <v>0</v>
      </c>
      <c r="M234" s="34">
        <v>26</v>
      </c>
      <c r="N234" s="35">
        <v>0</v>
      </c>
      <c r="O234" s="36"/>
      <c r="P234" s="37">
        <f t="shared" si="48"/>
        <v>26</v>
      </c>
    </row>
    <row r="235" spans="1:16" ht="14.25" hidden="1">
      <c r="A235" s="147">
        <v>46</v>
      </c>
      <c r="B235" s="163" t="s">
        <v>302</v>
      </c>
      <c r="C235" s="164" t="s">
        <v>20</v>
      </c>
      <c r="D235" s="165" t="s">
        <v>248</v>
      </c>
      <c r="E235" s="166">
        <v>46447</v>
      </c>
      <c r="F235" s="139">
        <v>111.98</v>
      </c>
      <c r="G235" s="144">
        <f t="shared" si="39"/>
        <v>0</v>
      </c>
      <c r="H235" s="167">
        <v>0</v>
      </c>
      <c r="I235" s="168">
        <v>0</v>
      </c>
      <c r="J235" s="169"/>
      <c r="K235" s="31"/>
      <c r="L235" s="33"/>
      <c r="M235" s="34">
        <v>0</v>
      </c>
      <c r="N235" s="35"/>
      <c r="O235" s="36"/>
      <c r="P235" s="37">
        <f t="shared" si="48"/>
        <v>0</v>
      </c>
    </row>
    <row r="236" spans="1:16" ht="28.5">
      <c r="A236" s="147">
        <v>47</v>
      </c>
      <c r="B236" s="163" t="s">
        <v>303</v>
      </c>
      <c r="C236" s="164" t="s">
        <v>20</v>
      </c>
      <c r="D236" s="165" t="s">
        <v>248</v>
      </c>
      <c r="E236" s="166">
        <v>46023</v>
      </c>
      <c r="F236" s="139">
        <v>89.311000000000007</v>
      </c>
      <c r="G236" s="144">
        <f t="shared" si="39"/>
        <v>893.11000000000013</v>
      </c>
      <c r="H236" s="167">
        <v>10</v>
      </c>
      <c r="I236" s="168">
        <v>1000</v>
      </c>
      <c r="J236" s="169"/>
      <c r="K236" s="31"/>
      <c r="L236" s="33"/>
      <c r="M236" s="34"/>
      <c r="N236" s="35"/>
      <c r="O236" s="36"/>
      <c r="P236" s="37"/>
    </row>
    <row r="237" spans="1:16" ht="28.5">
      <c r="A237" s="147">
        <v>48</v>
      </c>
      <c r="B237" s="163" t="s">
        <v>304</v>
      </c>
      <c r="C237" s="164" t="s">
        <v>20</v>
      </c>
      <c r="D237" s="165" t="s">
        <v>248</v>
      </c>
      <c r="E237" s="166">
        <v>46023</v>
      </c>
      <c r="F237" s="139">
        <v>103.31100000000001</v>
      </c>
      <c r="G237" s="144">
        <f t="shared" si="39"/>
        <v>1033.1100000000001</v>
      </c>
      <c r="H237" s="167">
        <v>10</v>
      </c>
      <c r="I237" s="168">
        <v>1000</v>
      </c>
      <c r="J237" s="169"/>
      <c r="K237" s="31"/>
      <c r="L237" s="33"/>
      <c r="M237" s="34"/>
      <c r="N237" s="35"/>
      <c r="O237" s="36"/>
      <c r="P237" s="37"/>
    </row>
    <row r="238" spans="1:16" ht="28.5">
      <c r="A238" s="147">
        <v>49</v>
      </c>
      <c r="B238" s="163" t="s">
        <v>305</v>
      </c>
      <c r="C238" s="164" t="s">
        <v>20</v>
      </c>
      <c r="D238" s="165" t="s">
        <v>306</v>
      </c>
      <c r="E238" s="166">
        <v>46023</v>
      </c>
      <c r="F238" s="139">
        <v>59.38</v>
      </c>
      <c r="G238" s="144">
        <f t="shared" si="39"/>
        <v>296.90000000000003</v>
      </c>
      <c r="H238" s="167">
        <v>5</v>
      </c>
      <c r="I238" s="168">
        <v>210</v>
      </c>
      <c r="J238" s="169"/>
      <c r="K238" s="31"/>
      <c r="L238" s="33"/>
      <c r="M238" s="34"/>
      <c r="N238" s="35"/>
      <c r="O238" s="36"/>
      <c r="P238" s="37"/>
    </row>
    <row r="239" spans="1:16" ht="14.25">
      <c r="A239" s="147">
        <v>50</v>
      </c>
      <c r="B239" s="163" t="s">
        <v>307</v>
      </c>
      <c r="C239" s="164" t="s">
        <v>20</v>
      </c>
      <c r="D239" s="165" t="s">
        <v>248</v>
      </c>
      <c r="E239" s="166">
        <v>46419</v>
      </c>
      <c r="F239" s="139">
        <v>46.11</v>
      </c>
      <c r="G239" s="144">
        <f t="shared" si="39"/>
        <v>1521.6299999999999</v>
      </c>
      <c r="H239" s="167">
        <v>33</v>
      </c>
      <c r="I239" s="168">
        <v>3300</v>
      </c>
      <c r="J239" s="169"/>
      <c r="K239" s="31"/>
      <c r="L239" s="33">
        <f>3000-600-24*100</f>
        <v>0</v>
      </c>
      <c r="M239" s="34">
        <v>1900</v>
      </c>
      <c r="N239" s="35">
        <v>600</v>
      </c>
      <c r="O239" s="36"/>
      <c r="P239" s="37">
        <f t="shared" ref="P239:P242" si="49">L239+M239+N239</f>
        <v>2500</v>
      </c>
    </row>
    <row r="240" spans="1:16" ht="14.25">
      <c r="A240" s="147">
        <v>51</v>
      </c>
      <c r="B240" s="163" t="s">
        <v>308</v>
      </c>
      <c r="C240" s="164" t="s">
        <v>20</v>
      </c>
      <c r="D240" s="165" t="s">
        <v>251</v>
      </c>
      <c r="E240" s="166">
        <v>46447</v>
      </c>
      <c r="F240" s="139">
        <v>478.84</v>
      </c>
      <c r="G240" s="144">
        <f t="shared" si="39"/>
        <v>7661.44</v>
      </c>
      <c r="H240" s="167">
        <v>16</v>
      </c>
      <c r="I240" s="168">
        <v>16000</v>
      </c>
      <c r="J240" s="169"/>
      <c r="K240" s="31"/>
      <c r="L240" s="33">
        <f>10*1000-10000</f>
        <v>0</v>
      </c>
      <c r="M240" s="34">
        <v>11000</v>
      </c>
      <c r="N240" s="35"/>
      <c r="O240" s="36"/>
      <c r="P240" s="37">
        <f t="shared" si="49"/>
        <v>11000</v>
      </c>
    </row>
    <row r="241" spans="1:16" ht="14.25">
      <c r="A241" s="147">
        <v>52</v>
      </c>
      <c r="B241" s="163" t="s">
        <v>309</v>
      </c>
      <c r="C241" s="164" t="s">
        <v>266</v>
      </c>
      <c r="D241" s="165" t="s">
        <v>37</v>
      </c>
      <c r="E241" s="166">
        <v>46419</v>
      </c>
      <c r="F241" s="139">
        <v>140.65</v>
      </c>
      <c r="G241" s="144">
        <f t="shared" si="39"/>
        <v>281.3</v>
      </c>
      <c r="H241" s="167">
        <v>2</v>
      </c>
      <c r="I241" s="168">
        <v>18</v>
      </c>
      <c r="J241" s="170"/>
      <c r="K241" s="31"/>
      <c r="L241" s="33">
        <v>0</v>
      </c>
      <c r="M241" s="34">
        <v>10</v>
      </c>
      <c r="N241" s="35"/>
      <c r="O241" s="36"/>
      <c r="P241" s="37">
        <f t="shared" si="49"/>
        <v>10</v>
      </c>
    </row>
    <row r="242" spans="1:16" ht="28.5" hidden="1">
      <c r="A242" s="147">
        <v>53</v>
      </c>
      <c r="B242" s="163" t="s">
        <v>310</v>
      </c>
      <c r="C242" s="164" t="s">
        <v>20</v>
      </c>
      <c r="D242" s="165" t="s">
        <v>37</v>
      </c>
      <c r="E242" s="166">
        <v>45870</v>
      </c>
      <c r="F242" s="139">
        <v>132.69</v>
      </c>
      <c r="G242" s="144">
        <f t="shared" si="39"/>
        <v>0</v>
      </c>
      <c r="H242" s="167">
        <v>0</v>
      </c>
      <c r="I242" s="168">
        <v>0</v>
      </c>
      <c r="J242" s="170"/>
      <c r="K242" s="31"/>
      <c r="L242" s="33">
        <v>0</v>
      </c>
      <c r="M242" s="34">
        <v>0</v>
      </c>
      <c r="N242" s="35"/>
      <c r="O242" s="36"/>
      <c r="P242" s="37">
        <f t="shared" si="49"/>
        <v>0</v>
      </c>
    </row>
    <row r="243" spans="1:16" ht="14.25">
      <c r="A243" s="147">
        <v>54</v>
      </c>
      <c r="B243" s="163" t="s">
        <v>311</v>
      </c>
      <c r="C243" s="164" t="s">
        <v>20</v>
      </c>
      <c r="D243" s="165" t="s">
        <v>40</v>
      </c>
      <c r="E243" s="166">
        <v>46023</v>
      </c>
      <c r="F243" s="139">
        <v>23.172499999999999</v>
      </c>
      <c r="G243" s="144">
        <f t="shared" si="39"/>
        <v>92.69</v>
      </c>
      <c r="H243" s="167">
        <v>4</v>
      </c>
      <c r="I243" s="168">
        <v>80</v>
      </c>
      <c r="J243" s="169"/>
      <c r="K243" s="31"/>
      <c r="L243" s="33"/>
      <c r="M243" s="34"/>
      <c r="N243" s="35"/>
      <c r="O243" s="36"/>
      <c r="P243" s="37"/>
    </row>
    <row r="244" spans="1:16" ht="14.25">
      <c r="A244" s="147">
        <v>55</v>
      </c>
      <c r="B244" s="163" t="s">
        <v>312</v>
      </c>
      <c r="C244" s="164" t="s">
        <v>20</v>
      </c>
      <c r="D244" s="165" t="s">
        <v>248</v>
      </c>
      <c r="E244" s="166">
        <v>46388</v>
      </c>
      <c r="F244" s="139">
        <v>116.91</v>
      </c>
      <c r="G244" s="144">
        <f t="shared" si="39"/>
        <v>116.91</v>
      </c>
      <c r="H244" s="167">
        <v>1</v>
      </c>
      <c r="I244" s="168">
        <v>70</v>
      </c>
      <c r="J244" s="169"/>
      <c r="K244" s="31"/>
      <c r="L244" s="33">
        <v>0</v>
      </c>
      <c r="M244" s="34">
        <v>0</v>
      </c>
      <c r="N244" s="35"/>
      <c r="O244" s="36"/>
      <c r="P244" s="37">
        <f>L244+M244+N244</f>
        <v>0</v>
      </c>
    </row>
    <row r="245" spans="1:16" ht="14.25">
      <c r="A245" s="147">
        <v>56</v>
      </c>
      <c r="B245" s="163" t="s">
        <v>312</v>
      </c>
      <c r="C245" s="164" t="s">
        <v>20</v>
      </c>
      <c r="D245" s="165" t="s">
        <v>248</v>
      </c>
      <c r="E245" s="166"/>
      <c r="F245" s="139">
        <v>43</v>
      </c>
      <c r="G245" s="144">
        <f t="shared" si="39"/>
        <v>430</v>
      </c>
      <c r="H245" s="167">
        <v>10</v>
      </c>
      <c r="I245" s="168">
        <v>950</v>
      </c>
      <c r="J245" s="169"/>
      <c r="K245" s="31"/>
      <c r="L245" s="33">
        <f>1000-200-800</f>
        <v>0</v>
      </c>
      <c r="M245" s="34">
        <v>550</v>
      </c>
      <c r="N245" s="35">
        <v>150</v>
      </c>
      <c r="O245" s="36"/>
      <c r="P245" s="37"/>
    </row>
    <row r="246" spans="1:16" ht="18.75" customHeight="1">
      <c r="A246" s="147">
        <v>57</v>
      </c>
      <c r="B246" s="163" t="s">
        <v>313</v>
      </c>
      <c r="C246" s="164" t="s">
        <v>20</v>
      </c>
      <c r="D246" s="165" t="s">
        <v>40</v>
      </c>
      <c r="E246" s="166">
        <v>46023</v>
      </c>
      <c r="F246" s="139">
        <v>22.48</v>
      </c>
      <c r="G246" s="144">
        <f t="shared" si="39"/>
        <v>11464.800000000001</v>
      </c>
      <c r="H246" s="167">
        <v>510</v>
      </c>
      <c r="I246" s="168">
        <v>10200</v>
      </c>
      <c r="J246" s="169"/>
      <c r="K246" s="31"/>
      <c r="L246" s="33">
        <v>0</v>
      </c>
      <c r="M246" s="34">
        <v>6660</v>
      </c>
      <c r="N246" s="35">
        <v>920</v>
      </c>
      <c r="O246" s="36"/>
      <c r="P246" s="37">
        <f t="shared" ref="P246:P247" si="50">L246+M246+N246</f>
        <v>7580</v>
      </c>
    </row>
    <row r="247" spans="1:16" ht="57" hidden="1">
      <c r="A247" s="147">
        <v>58</v>
      </c>
      <c r="B247" s="163" t="s">
        <v>314</v>
      </c>
      <c r="C247" s="164" t="s">
        <v>20</v>
      </c>
      <c r="D247" s="165" t="s">
        <v>315</v>
      </c>
      <c r="E247" s="166">
        <v>45901</v>
      </c>
      <c r="F247" s="139">
        <v>250</v>
      </c>
      <c r="G247" s="144">
        <f t="shared" si="39"/>
        <v>0</v>
      </c>
      <c r="H247" s="167">
        <v>0</v>
      </c>
      <c r="I247" s="168"/>
      <c r="J247" s="31"/>
      <c r="K247" s="31"/>
      <c r="L247" s="33">
        <v>0</v>
      </c>
      <c r="M247" s="34">
        <v>0</v>
      </c>
      <c r="N247" s="35"/>
      <c r="O247" s="36"/>
      <c r="P247" s="37">
        <f t="shared" si="50"/>
        <v>0</v>
      </c>
    </row>
    <row r="248" spans="1:16" ht="14.25">
      <c r="A248" s="147"/>
      <c r="B248" s="189" t="s">
        <v>316</v>
      </c>
      <c r="C248" s="172" t="s">
        <v>20</v>
      </c>
      <c r="D248" s="173" t="s">
        <v>37</v>
      </c>
      <c r="E248" s="179"/>
      <c r="F248" s="175">
        <v>600</v>
      </c>
      <c r="G248" s="144">
        <f t="shared" si="39"/>
        <v>227400</v>
      </c>
      <c r="H248" s="154">
        <v>379</v>
      </c>
      <c r="I248" s="159"/>
      <c r="J248" s="156"/>
      <c r="K248" s="155"/>
      <c r="L248" s="157"/>
      <c r="M248" s="176">
        <v>379</v>
      </c>
      <c r="N248" s="190"/>
      <c r="O248" s="155"/>
      <c r="P248" s="37"/>
    </row>
    <row r="249" spans="1:16" ht="30">
      <c r="A249" s="147">
        <v>59</v>
      </c>
      <c r="B249" s="191" t="s">
        <v>317</v>
      </c>
      <c r="C249" s="172" t="s">
        <v>20</v>
      </c>
      <c r="D249" s="173" t="s">
        <v>318</v>
      </c>
      <c r="E249" s="179">
        <v>46023</v>
      </c>
      <c r="F249" s="192">
        <v>244.75899999999999</v>
      </c>
      <c r="G249" s="144">
        <f t="shared" si="39"/>
        <v>2447.5899999999997</v>
      </c>
      <c r="H249" s="154">
        <v>10</v>
      </c>
      <c r="I249" s="159">
        <v>560</v>
      </c>
      <c r="J249" s="156"/>
      <c r="K249" s="155"/>
      <c r="L249" s="157"/>
      <c r="M249" s="176"/>
      <c r="N249" s="190"/>
      <c r="O249" s="155"/>
      <c r="P249" s="37"/>
    </row>
    <row r="250" spans="1:16" ht="15">
      <c r="A250" s="147">
        <v>6</v>
      </c>
      <c r="B250" s="191" t="s">
        <v>319</v>
      </c>
      <c r="C250" s="172" t="s">
        <v>20</v>
      </c>
      <c r="D250" s="173" t="s">
        <v>251</v>
      </c>
      <c r="E250" s="179">
        <v>46844</v>
      </c>
      <c r="F250" s="192">
        <v>1648.41</v>
      </c>
      <c r="G250" s="144">
        <f t="shared" si="39"/>
        <v>4945.2300000000005</v>
      </c>
      <c r="H250" s="154">
        <v>3</v>
      </c>
      <c r="I250" s="159">
        <v>2880</v>
      </c>
      <c r="J250" s="156"/>
      <c r="K250" s="155"/>
      <c r="L250" s="157">
        <f>4*1000-4000</f>
        <v>0</v>
      </c>
      <c r="M250" s="176">
        <v>5560</v>
      </c>
      <c r="N250" s="190"/>
      <c r="O250" s="155"/>
      <c r="P250" s="37">
        <f t="shared" ref="P250:P251" si="51">L250+M250+N250</f>
        <v>5560</v>
      </c>
    </row>
    <row r="251" spans="1:16" ht="15">
      <c r="A251" s="147">
        <v>61</v>
      </c>
      <c r="B251" s="191" t="s">
        <v>320</v>
      </c>
      <c r="C251" s="172" t="s">
        <v>266</v>
      </c>
      <c r="D251" s="173" t="s">
        <v>231</v>
      </c>
      <c r="E251" s="179">
        <v>46508</v>
      </c>
      <c r="F251" s="175">
        <v>715.8</v>
      </c>
      <c r="G251" s="144">
        <f t="shared" si="39"/>
        <v>5010.5999999999995</v>
      </c>
      <c r="H251" s="154">
        <v>7</v>
      </c>
      <c r="I251" s="159">
        <v>153</v>
      </c>
      <c r="J251" s="156"/>
      <c r="K251" s="155"/>
      <c r="L251" s="157">
        <f>125-5*25</f>
        <v>0</v>
      </c>
      <c r="M251" s="176">
        <v>116</v>
      </c>
      <c r="N251" s="190"/>
      <c r="O251" s="155"/>
      <c r="P251" s="37">
        <f t="shared" si="51"/>
        <v>116</v>
      </c>
    </row>
    <row r="252" spans="1:16" ht="14.25">
      <c r="A252" s="147"/>
      <c r="B252" s="188" t="s">
        <v>321</v>
      </c>
      <c r="C252" s="172" t="s">
        <v>20</v>
      </c>
      <c r="D252" s="173" t="s">
        <v>241</v>
      </c>
      <c r="E252" s="179"/>
      <c r="F252" s="175">
        <v>20</v>
      </c>
      <c r="G252" s="144">
        <f t="shared" si="39"/>
        <v>6000</v>
      </c>
      <c r="H252" s="154">
        <v>300</v>
      </c>
      <c r="I252" s="159">
        <v>9000</v>
      </c>
      <c r="J252" s="156"/>
      <c r="K252" s="155"/>
      <c r="L252" s="157"/>
      <c r="M252" s="176"/>
      <c r="N252" s="190"/>
      <c r="O252" s="155"/>
      <c r="P252" s="37"/>
    </row>
    <row r="253" spans="1:16" ht="14.25">
      <c r="A253" s="147"/>
      <c r="B253" s="188" t="s">
        <v>322</v>
      </c>
      <c r="C253" s="172" t="s">
        <v>20</v>
      </c>
      <c r="D253" s="173" t="s">
        <v>37</v>
      </c>
      <c r="E253" s="179"/>
      <c r="F253" s="175">
        <v>80</v>
      </c>
      <c r="G253" s="144">
        <f t="shared" si="39"/>
        <v>24000</v>
      </c>
      <c r="H253" s="154">
        <v>300</v>
      </c>
      <c r="I253" s="159">
        <v>3000</v>
      </c>
      <c r="J253" s="156"/>
      <c r="K253" s="155"/>
      <c r="L253" s="157"/>
      <c r="M253" s="176"/>
      <c r="N253" s="190"/>
      <c r="O253" s="155"/>
      <c r="P253" s="37"/>
    </row>
    <row r="254" spans="1:16" ht="15">
      <c r="A254" s="147">
        <v>62</v>
      </c>
      <c r="B254" s="191" t="s">
        <v>323</v>
      </c>
      <c r="C254" s="172" t="s">
        <v>20</v>
      </c>
      <c r="D254" s="173" t="s">
        <v>248</v>
      </c>
      <c r="E254" s="179">
        <v>46023</v>
      </c>
      <c r="F254" s="192">
        <v>48.759</v>
      </c>
      <c r="G254" s="144">
        <f t="shared" si="39"/>
        <v>487.59000000000003</v>
      </c>
      <c r="H254" s="154">
        <v>10</v>
      </c>
      <c r="I254" s="159">
        <v>1000</v>
      </c>
      <c r="J254" s="156"/>
      <c r="K254" s="155"/>
      <c r="L254" s="157"/>
      <c r="M254" s="176"/>
      <c r="N254" s="190"/>
      <c r="O254" s="155"/>
      <c r="P254" s="37"/>
    </row>
    <row r="255" spans="1:16" ht="30">
      <c r="A255" s="147">
        <v>63</v>
      </c>
      <c r="B255" s="191" t="s">
        <v>324</v>
      </c>
      <c r="C255" s="172" t="s">
        <v>20</v>
      </c>
      <c r="D255" s="173" t="s">
        <v>37</v>
      </c>
      <c r="E255" s="179">
        <v>46266</v>
      </c>
      <c r="F255" s="192">
        <v>430.92</v>
      </c>
      <c r="G255" s="144">
        <f t="shared" si="39"/>
        <v>861.84</v>
      </c>
      <c r="H255" s="154">
        <v>2</v>
      </c>
      <c r="I255" s="159">
        <v>20</v>
      </c>
      <c r="J255" s="156"/>
      <c r="K255" s="155"/>
      <c r="L255" s="157">
        <v>0</v>
      </c>
      <c r="M255" s="176">
        <v>15</v>
      </c>
      <c r="N255" s="190"/>
      <c r="O255" s="155"/>
      <c r="P255" s="37">
        <f t="shared" ref="P255:P267" si="52">L255+M255+N255</f>
        <v>15</v>
      </c>
    </row>
    <row r="256" spans="1:16" ht="15" hidden="1">
      <c r="A256" s="147">
        <v>64</v>
      </c>
      <c r="B256" s="160" t="s">
        <v>325</v>
      </c>
      <c r="C256" s="149" t="s">
        <v>326</v>
      </c>
      <c r="D256" s="183"/>
      <c r="E256" s="150"/>
      <c r="F256" s="161">
        <v>7.36</v>
      </c>
      <c r="G256" s="153">
        <f t="shared" si="39"/>
        <v>0</v>
      </c>
      <c r="H256" s="162">
        <v>0</v>
      </c>
      <c r="I256" s="155"/>
      <c r="J256" s="155"/>
      <c r="K256" s="155"/>
      <c r="L256" s="157">
        <v>0</v>
      </c>
      <c r="M256" s="176">
        <v>0</v>
      </c>
      <c r="N256" s="190"/>
      <c r="O256" s="155"/>
      <c r="P256" s="37">
        <f t="shared" si="52"/>
        <v>0</v>
      </c>
    </row>
    <row r="257" spans="1:16" ht="45" hidden="1">
      <c r="A257" s="147">
        <v>65</v>
      </c>
      <c r="B257" s="177" t="s">
        <v>327</v>
      </c>
      <c r="C257" s="149" t="s">
        <v>20</v>
      </c>
      <c r="D257" s="183"/>
      <c r="E257" s="150"/>
      <c r="F257" s="152">
        <v>500</v>
      </c>
      <c r="G257" s="153">
        <f t="shared" si="39"/>
        <v>0</v>
      </c>
      <c r="H257" s="162">
        <v>0</v>
      </c>
      <c r="I257" s="155"/>
      <c r="J257" s="155"/>
      <c r="K257" s="155"/>
      <c r="L257" s="157">
        <v>0</v>
      </c>
      <c r="M257" s="176">
        <v>0</v>
      </c>
      <c r="N257" s="190"/>
      <c r="O257" s="155"/>
      <c r="P257" s="37">
        <f t="shared" si="52"/>
        <v>0</v>
      </c>
    </row>
    <row r="258" spans="1:16" ht="45">
      <c r="A258" s="147">
        <v>66</v>
      </c>
      <c r="B258" s="177" t="s">
        <v>328</v>
      </c>
      <c r="C258" s="149" t="s">
        <v>20</v>
      </c>
      <c r="D258" s="183"/>
      <c r="E258" s="150"/>
      <c r="F258" s="152">
        <v>300</v>
      </c>
      <c r="G258" s="153">
        <f t="shared" si="39"/>
        <v>30000</v>
      </c>
      <c r="H258" s="162">
        <v>100</v>
      </c>
      <c r="I258" s="155"/>
      <c r="J258" s="155"/>
      <c r="K258" s="155"/>
      <c r="L258" s="157">
        <v>0</v>
      </c>
      <c r="M258" s="176">
        <v>90</v>
      </c>
      <c r="N258" s="190"/>
      <c r="O258" s="155"/>
      <c r="P258" s="37">
        <f t="shared" si="52"/>
        <v>90</v>
      </c>
    </row>
    <row r="259" spans="1:16" ht="45">
      <c r="A259" s="147">
        <v>67</v>
      </c>
      <c r="B259" s="177" t="s">
        <v>329</v>
      </c>
      <c r="C259" s="149" t="s">
        <v>20</v>
      </c>
      <c r="D259" s="183"/>
      <c r="E259" s="182">
        <v>45962</v>
      </c>
      <c r="F259" s="152">
        <v>300</v>
      </c>
      <c r="G259" s="153">
        <f t="shared" si="39"/>
        <v>63000</v>
      </c>
      <c r="H259" s="162">
        <v>210</v>
      </c>
      <c r="I259" s="155"/>
      <c r="J259" s="155"/>
      <c r="K259" s="155"/>
      <c r="L259" s="157">
        <v>0</v>
      </c>
      <c r="M259" s="176">
        <v>0</v>
      </c>
      <c r="N259" s="190"/>
      <c r="O259" s="155"/>
      <c r="P259" s="37">
        <f t="shared" si="52"/>
        <v>0</v>
      </c>
    </row>
    <row r="260" spans="1:16" ht="14.25">
      <c r="A260" s="147">
        <v>70</v>
      </c>
      <c r="B260" s="163" t="s">
        <v>330</v>
      </c>
      <c r="C260" s="164" t="s">
        <v>20</v>
      </c>
      <c r="D260" s="165" t="s">
        <v>248</v>
      </c>
      <c r="E260" s="166">
        <v>46023</v>
      </c>
      <c r="F260" s="139">
        <v>831.3</v>
      </c>
      <c r="G260" s="144">
        <f t="shared" si="39"/>
        <v>1662.6</v>
      </c>
      <c r="H260" s="167">
        <v>2</v>
      </c>
      <c r="I260" s="168">
        <v>200</v>
      </c>
      <c r="J260" s="31"/>
      <c r="K260" s="31"/>
      <c r="L260" s="33">
        <v>0</v>
      </c>
      <c r="M260" s="34">
        <v>100</v>
      </c>
      <c r="N260" s="193"/>
      <c r="O260" s="36"/>
      <c r="P260" s="37">
        <f t="shared" si="52"/>
        <v>100</v>
      </c>
    </row>
    <row r="261" spans="1:16" ht="15">
      <c r="A261" s="147">
        <v>71</v>
      </c>
      <c r="B261" s="163" t="s">
        <v>330</v>
      </c>
      <c r="C261" s="164" t="s">
        <v>20</v>
      </c>
      <c r="D261" s="165" t="s">
        <v>248</v>
      </c>
      <c r="E261" s="194">
        <v>46023</v>
      </c>
      <c r="F261" s="195">
        <v>831.37</v>
      </c>
      <c r="G261" s="144">
        <f t="shared" si="39"/>
        <v>2494.11</v>
      </c>
      <c r="H261" s="196">
        <v>3</v>
      </c>
      <c r="I261" s="197">
        <v>300</v>
      </c>
      <c r="J261" s="156"/>
      <c r="K261" s="155"/>
      <c r="L261" s="157">
        <f>300-300</f>
        <v>0</v>
      </c>
      <c r="M261" s="176">
        <v>300</v>
      </c>
      <c r="N261" s="198">
        <v>0</v>
      </c>
      <c r="O261" s="155"/>
      <c r="P261" s="37">
        <f t="shared" si="52"/>
        <v>300</v>
      </c>
    </row>
    <row r="262" spans="1:16" ht="15">
      <c r="A262" s="147">
        <v>72</v>
      </c>
      <c r="B262" s="199" t="s">
        <v>331</v>
      </c>
      <c r="C262" s="164" t="s">
        <v>20</v>
      </c>
      <c r="D262" s="165" t="s">
        <v>248</v>
      </c>
      <c r="E262" s="194"/>
      <c r="F262" s="195">
        <v>637.64</v>
      </c>
      <c r="G262" s="144">
        <f t="shared" si="39"/>
        <v>63764</v>
      </c>
      <c r="H262" s="196">
        <v>100</v>
      </c>
      <c r="I262" s="197">
        <v>10000</v>
      </c>
      <c r="J262" s="156"/>
      <c r="K262" s="155"/>
      <c r="L262" s="157">
        <v>10000</v>
      </c>
      <c r="M262" s="176"/>
      <c r="N262" s="198"/>
      <c r="O262" s="155"/>
      <c r="P262" s="37">
        <f t="shared" si="52"/>
        <v>10000</v>
      </c>
    </row>
    <row r="263" spans="1:16" ht="15">
      <c r="A263" s="147">
        <v>74</v>
      </c>
      <c r="B263" s="199" t="s">
        <v>332</v>
      </c>
      <c r="C263" s="164" t="s">
        <v>20</v>
      </c>
      <c r="D263" s="165" t="s">
        <v>248</v>
      </c>
      <c r="E263" s="194">
        <v>46143</v>
      </c>
      <c r="F263" s="195">
        <v>164.84</v>
      </c>
      <c r="G263" s="144">
        <f t="shared" si="39"/>
        <v>494.52</v>
      </c>
      <c r="H263" s="196">
        <v>3</v>
      </c>
      <c r="I263" s="197">
        <v>260</v>
      </c>
      <c r="J263" s="156"/>
      <c r="K263" s="155"/>
      <c r="L263" s="157">
        <f>200-200</f>
        <v>0</v>
      </c>
      <c r="M263" s="176">
        <v>230</v>
      </c>
      <c r="N263" s="198"/>
      <c r="O263" s="155"/>
      <c r="P263" s="37">
        <f t="shared" si="52"/>
        <v>230</v>
      </c>
    </row>
    <row r="264" spans="1:16" ht="30">
      <c r="A264" s="147">
        <v>75</v>
      </c>
      <c r="B264" s="199" t="s">
        <v>333</v>
      </c>
      <c r="C264" s="164" t="s">
        <v>118</v>
      </c>
      <c r="D264" s="165"/>
      <c r="E264" s="194">
        <v>46388</v>
      </c>
      <c r="F264" s="195">
        <v>82.440399999999997</v>
      </c>
      <c r="G264" s="144">
        <f t="shared" si="39"/>
        <v>164.88079999999999</v>
      </c>
      <c r="H264" s="196">
        <v>2</v>
      </c>
      <c r="I264" s="200"/>
      <c r="J264" s="200"/>
      <c r="K264" s="155"/>
      <c r="L264" s="157"/>
      <c r="M264" s="176">
        <v>0</v>
      </c>
      <c r="N264" s="198">
        <v>0</v>
      </c>
      <c r="O264" s="155"/>
      <c r="P264" s="37">
        <f t="shared" si="52"/>
        <v>0</v>
      </c>
    </row>
    <row r="265" spans="1:16" ht="14.25">
      <c r="A265" s="147">
        <v>77</v>
      </c>
      <c r="B265" s="163" t="s">
        <v>334</v>
      </c>
      <c r="C265" s="164" t="s">
        <v>157</v>
      </c>
      <c r="D265" s="165" t="s">
        <v>335</v>
      </c>
      <c r="E265" s="165" t="s">
        <v>336</v>
      </c>
      <c r="F265" s="139">
        <v>1</v>
      </c>
      <c r="G265" s="153">
        <f t="shared" si="39"/>
        <v>990</v>
      </c>
      <c r="H265" s="167">
        <v>990</v>
      </c>
      <c r="I265" s="168"/>
      <c r="J265" s="31"/>
      <c r="K265" s="31"/>
      <c r="L265" s="33">
        <f>1000-200</f>
        <v>800</v>
      </c>
      <c r="M265" s="34">
        <v>180</v>
      </c>
      <c r="N265" s="193"/>
      <c r="O265" s="36"/>
      <c r="P265" s="37">
        <f t="shared" si="52"/>
        <v>980</v>
      </c>
    </row>
    <row r="266" spans="1:16" ht="42.75">
      <c r="A266" s="147">
        <v>78</v>
      </c>
      <c r="B266" s="201" t="s">
        <v>337</v>
      </c>
      <c r="C266" s="202" t="s">
        <v>118</v>
      </c>
      <c r="D266" s="203"/>
      <c r="E266" s="166">
        <v>46844</v>
      </c>
      <c r="F266" s="139">
        <v>21.67</v>
      </c>
      <c r="G266" s="204">
        <f t="shared" ref="G266:G268" si="53">F266*H266</f>
        <v>98273.450000000012</v>
      </c>
      <c r="H266" s="167">
        <v>4535</v>
      </c>
      <c r="I266" s="168"/>
      <c r="J266" s="31"/>
      <c r="K266" s="31"/>
      <c r="L266" s="33">
        <f>4500-500</f>
        <v>4000</v>
      </c>
      <c r="M266" s="34">
        <v>300</v>
      </c>
      <c r="N266" s="193">
        <v>200</v>
      </c>
      <c r="O266" s="36"/>
      <c r="P266" s="37">
        <f t="shared" si="52"/>
        <v>4500</v>
      </c>
    </row>
    <row r="267" spans="1:16" ht="25.5">
      <c r="A267" s="147">
        <v>79</v>
      </c>
      <c r="B267" s="205" t="s">
        <v>338</v>
      </c>
      <c r="C267" s="202" t="s">
        <v>118</v>
      </c>
      <c r="D267" s="203"/>
      <c r="E267" s="166"/>
      <c r="F267" s="139">
        <v>26.35</v>
      </c>
      <c r="G267" s="204">
        <f t="shared" si="53"/>
        <v>52.7</v>
      </c>
      <c r="H267" s="167">
        <v>2</v>
      </c>
      <c r="I267" s="168"/>
      <c r="J267" s="31"/>
      <c r="K267" s="31"/>
      <c r="L267" s="33">
        <v>0</v>
      </c>
      <c r="M267" s="34">
        <v>0</v>
      </c>
      <c r="N267" s="193">
        <v>2</v>
      </c>
      <c r="O267" s="36"/>
      <c r="P267" s="37">
        <f t="shared" si="52"/>
        <v>2</v>
      </c>
    </row>
    <row r="268" spans="1:16" ht="28.5">
      <c r="A268" s="147">
        <v>80</v>
      </c>
      <c r="B268" s="206" t="s">
        <v>339</v>
      </c>
      <c r="C268" s="202" t="s">
        <v>118</v>
      </c>
      <c r="D268" s="203"/>
      <c r="E268" s="166">
        <v>46327</v>
      </c>
      <c r="F268" s="139">
        <v>2</v>
      </c>
      <c r="G268" s="204">
        <f t="shared" si="53"/>
        <v>1000</v>
      </c>
      <c r="H268" s="167">
        <v>500</v>
      </c>
      <c r="I268" s="207"/>
      <c r="J268" s="47"/>
      <c r="K268" s="31"/>
      <c r="L268" s="33">
        <v>500</v>
      </c>
      <c r="M268" s="34"/>
      <c r="N268" s="193"/>
      <c r="O268" s="36"/>
      <c r="P268" s="37"/>
    </row>
    <row r="269" spans="1:16" ht="28.5">
      <c r="A269" s="147">
        <v>81</v>
      </c>
      <c r="B269" s="206" t="s">
        <v>340</v>
      </c>
      <c r="C269" s="202" t="s">
        <v>118</v>
      </c>
      <c r="D269" s="203"/>
      <c r="E269" s="166">
        <v>46023</v>
      </c>
      <c r="F269" s="208">
        <v>5.27</v>
      </c>
      <c r="G269" s="144">
        <f t="shared" ref="G269:G276" si="54">H269*F269</f>
        <v>105.39999999999999</v>
      </c>
      <c r="H269" s="167">
        <v>20</v>
      </c>
      <c r="I269" s="207"/>
      <c r="J269" s="47"/>
      <c r="K269" s="31"/>
      <c r="L269" s="33">
        <v>20</v>
      </c>
      <c r="M269" s="34">
        <v>0</v>
      </c>
      <c r="N269" s="193">
        <v>0</v>
      </c>
      <c r="O269" s="36"/>
      <c r="P269" s="37">
        <f>L269+M269+N269</f>
        <v>20</v>
      </c>
    </row>
    <row r="270" spans="1:16" ht="28.5">
      <c r="A270" s="147">
        <v>82</v>
      </c>
      <c r="B270" s="163" t="s">
        <v>341</v>
      </c>
      <c r="C270" s="164" t="s">
        <v>118</v>
      </c>
      <c r="D270" s="165"/>
      <c r="E270" s="209">
        <v>45992</v>
      </c>
      <c r="F270" s="139">
        <v>5</v>
      </c>
      <c r="G270" s="144">
        <f t="shared" si="54"/>
        <v>2795</v>
      </c>
      <c r="H270" s="167">
        <v>559</v>
      </c>
      <c r="I270" s="168"/>
      <c r="J270" s="31"/>
      <c r="K270" s="31"/>
      <c r="L270" s="33">
        <v>559</v>
      </c>
      <c r="M270" s="34"/>
      <c r="N270" s="193"/>
      <c r="O270" s="36"/>
      <c r="P270" s="37"/>
    </row>
    <row r="271" spans="1:16" ht="14.25">
      <c r="A271" s="147">
        <v>83</v>
      </c>
      <c r="B271" s="163" t="s">
        <v>342</v>
      </c>
      <c r="C271" s="164" t="s">
        <v>343</v>
      </c>
      <c r="D271" s="165" t="s">
        <v>248</v>
      </c>
      <c r="E271" s="165" t="s">
        <v>336</v>
      </c>
      <c r="F271" s="139">
        <v>1.5</v>
      </c>
      <c r="G271" s="144">
        <f t="shared" si="54"/>
        <v>1050</v>
      </c>
      <c r="H271" s="167">
        <v>700</v>
      </c>
      <c r="I271" s="168"/>
      <c r="J271" s="31"/>
      <c r="K271" s="31"/>
      <c r="L271" s="33">
        <v>700</v>
      </c>
      <c r="M271" s="34"/>
      <c r="N271" s="193"/>
      <c r="O271" s="36"/>
      <c r="P271" s="37"/>
    </row>
    <row r="272" spans="1:16" ht="26.25">
      <c r="A272" s="147">
        <v>84</v>
      </c>
      <c r="B272" s="210" t="s">
        <v>344</v>
      </c>
      <c r="C272" s="211" t="s">
        <v>118</v>
      </c>
      <c r="D272" s="212"/>
      <c r="E272" s="213" t="s">
        <v>345</v>
      </c>
      <c r="F272" s="211">
        <v>100</v>
      </c>
      <c r="G272" s="153">
        <f t="shared" si="54"/>
        <v>157200</v>
      </c>
      <c r="H272" s="211">
        <v>1572</v>
      </c>
      <c r="I272" s="214"/>
      <c r="J272" s="215"/>
      <c r="K272" s="216"/>
      <c r="L272" s="217">
        <f>1857-324-324</f>
        <v>1209</v>
      </c>
      <c r="M272" s="218">
        <v>303</v>
      </c>
      <c r="N272" s="219">
        <v>50</v>
      </c>
      <c r="O272" s="216"/>
      <c r="P272" s="37">
        <f t="shared" ref="P272:P278" si="55">L272+M272+N272</f>
        <v>1562</v>
      </c>
    </row>
    <row r="273" spans="1:16" ht="28.5">
      <c r="A273" s="147">
        <v>85</v>
      </c>
      <c r="B273" s="163" t="s">
        <v>346</v>
      </c>
      <c r="C273" s="164" t="s">
        <v>118</v>
      </c>
      <c r="D273" s="165"/>
      <c r="E273" s="166"/>
      <c r="F273" s="139">
        <v>61</v>
      </c>
      <c r="G273" s="144">
        <f t="shared" si="54"/>
        <v>915</v>
      </c>
      <c r="H273" s="167">
        <v>15</v>
      </c>
      <c r="I273" s="168"/>
      <c r="J273" s="31"/>
      <c r="K273" s="31"/>
      <c r="L273" s="33"/>
      <c r="M273" s="34"/>
      <c r="N273" s="193"/>
      <c r="P273" s="37">
        <f t="shared" si="55"/>
        <v>0</v>
      </c>
    </row>
    <row r="274" spans="1:16" ht="14.25">
      <c r="A274" s="147">
        <v>86</v>
      </c>
      <c r="B274" s="163" t="s">
        <v>347</v>
      </c>
      <c r="C274" s="164" t="s">
        <v>118</v>
      </c>
      <c r="D274" s="165"/>
      <c r="E274" s="166"/>
      <c r="F274" s="139">
        <v>87</v>
      </c>
      <c r="G274" s="144">
        <f t="shared" si="54"/>
        <v>261</v>
      </c>
      <c r="H274" s="167">
        <v>3</v>
      </c>
      <c r="I274" s="168"/>
      <c r="J274" s="31"/>
      <c r="K274" s="31"/>
      <c r="L274" s="33"/>
      <c r="M274" s="34">
        <v>8</v>
      </c>
      <c r="N274" s="193"/>
      <c r="O274" s="36"/>
      <c r="P274" s="37">
        <f t="shared" si="55"/>
        <v>8</v>
      </c>
    </row>
    <row r="275" spans="1:16" ht="42.75">
      <c r="A275" s="147">
        <v>87</v>
      </c>
      <c r="B275" s="163" t="s">
        <v>348</v>
      </c>
      <c r="C275" s="164" t="s">
        <v>20</v>
      </c>
      <c r="D275" s="165" t="s">
        <v>349</v>
      </c>
      <c r="E275" s="166"/>
      <c r="F275" s="139">
        <v>72.62</v>
      </c>
      <c r="G275" s="144">
        <f t="shared" si="54"/>
        <v>72.62</v>
      </c>
      <c r="H275" s="167">
        <v>1</v>
      </c>
      <c r="I275" s="168">
        <v>400</v>
      </c>
      <c r="J275" s="31"/>
      <c r="K275" s="31"/>
      <c r="L275" s="33">
        <f>500-100</f>
        <v>400</v>
      </c>
      <c r="M275" s="34">
        <v>0</v>
      </c>
      <c r="N275" s="193">
        <v>0</v>
      </c>
      <c r="O275" s="36"/>
      <c r="P275" s="37">
        <f t="shared" si="55"/>
        <v>400</v>
      </c>
    </row>
    <row r="276" spans="1:16" ht="28.5">
      <c r="A276" s="147">
        <v>88</v>
      </c>
      <c r="B276" s="201" t="s">
        <v>350</v>
      </c>
      <c r="C276" s="202" t="s">
        <v>20</v>
      </c>
      <c r="D276" s="220" t="s">
        <v>248</v>
      </c>
      <c r="E276" s="166">
        <v>46692</v>
      </c>
      <c r="F276" s="139">
        <v>202.71</v>
      </c>
      <c r="G276" s="144">
        <f t="shared" si="54"/>
        <v>608.13</v>
      </c>
      <c r="H276" s="167">
        <v>3</v>
      </c>
      <c r="I276" s="168">
        <v>300</v>
      </c>
      <c r="J276" s="31"/>
      <c r="K276" s="31"/>
      <c r="L276" s="33">
        <f>300</f>
        <v>300</v>
      </c>
      <c r="M276" s="34">
        <v>0</v>
      </c>
      <c r="N276" s="193">
        <v>0</v>
      </c>
      <c r="O276" s="36"/>
      <c r="P276" s="37">
        <f t="shared" si="55"/>
        <v>300</v>
      </c>
    </row>
    <row r="277" spans="1:16" ht="28.5">
      <c r="A277" s="147">
        <v>89</v>
      </c>
      <c r="B277" s="201" t="s">
        <v>350</v>
      </c>
      <c r="C277" s="202" t="s">
        <v>20</v>
      </c>
      <c r="D277" s="220"/>
      <c r="E277" s="166">
        <v>46692</v>
      </c>
      <c r="F277" s="139">
        <v>190.5</v>
      </c>
      <c r="G277" s="204">
        <f t="shared" ref="G277:G278" si="56">F277*H277</f>
        <v>571.5</v>
      </c>
      <c r="H277" s="167">
        <v>3</v>
      </c>
      <c r="I277" s="168">
        <v>282</v>
      </c>
      <c r="J277" s="31"/>
      <c r="K277" s="31"/>
      <c r="L277" s="33">
        <v>0</v>
      </c>
      <c r="M277" s="34">
        <v>282</v>
      </c>
      <c r="N277" s="193">
        <v>0</v>
      </c>
      <c r="O277" s="36"/>
      <c r="P277" s="37">
        <f t="shared" si="55"/>
        <v>282</v>
      </c>
    </row>
    <row r="278" spans="1:16" ht="28.5">
      <c r="A278" s="221"/>
      <c r="B278" s="143" t="s">
        <v>351</v>
      </c>
      <c r="C278" s="222" t="s">
        <v>118</v>
      </c>
      <c r="D278" s="223"/>
      <c r="E278" s="224"/>
      <c r="F278" s="225">
        <v>178.06</v>
      </c>
      <c r="G278" s="204">
        <f t="shared" si="56"/>
        <v>2670.9</v>
      </c>
      <c r="H278" s="225">
        <v>15</v>
      </c>
      <c r="I278" s="207"/>
      <c r="J278" s="47"/>
      <c r="K278" s="31"/>
      <c r="L278" s="33"/>
      <c r="M278" s="34">
        <v>9</v>
      </c>
      <c r="N278" s="35">
        <v>6</v>
      </c>
      <c r="O278" s="36"/>
      <c r="P278" s="37">
        <f t="shared" si="55"/>
        <v>15</v>
      </c>
    </row>
    <row r="279" spans="1:16" ht="12.75">
      <c r="A279" s="226"/>
      <c r="P279" s="227"/>
    </row>
    <row r="280" spans="1:16" ht="16.5" customHeight="1">
      <c r="A280" s="228"/>
      <c r="P280" s="227"/>
    </row>
    <row r="281" spans="1:16" ht="12.75">
      <c r="A281" s="228"/>
      <c r="M281" s="159">
        <v>0</v>
      </c>
      <c r="N281" s="159">
        <v>0</v>
      </c>
      <c r="O281" s="155"/>
      <c r="P281" s="227">
        <f>L281+M281+N281</f>
        <v>0</v>
      </c>
    </row>
    <row r="282" spans="1:16" ht="15">
      <c r="A282" s="228"/>
      <c r="B282" s="229"/>
      <c r="C282" s="230"/>
      <c r="D282" s="231"/>
      <c r="E282" s="231"/>
      <c r="F282" s="232"/>
      <c r="G282" s="233"/>
      <c r="H282" s="234"/>
      <c r="I282" s="155"/>
      <c r="J282" s="155"/>
      <c r="K282" s="155"/>
      <c r="L282" s="159"/>
      <c r="M282" s="159"/>
      <c r="N282" s="155"/>
      <c r="O282" s="155"/>
      <c r="P282" s="227"/>
    </row>
    <row r="283" spans="1:16" ht="15">
      <c r="A283" s="228"/>
      <c r="B283" s="229"/>
      <c r="C283" s="230"/>
      <c r="D283" s="231"/>
      <c r="E283" s="231"/>
      <c r="F283" s="232"/>
      <c r="G283" s="233"/>
      <c r="H283" s="234"/>
      <c r="I283" s="155"/>
      <c r="J283" s="155"/>
      <c r="K283" s="155"/>
      <c r="L283" s="159"/>
      <c r="M283" s="159"/>
      <c r="N283" s="155"/>
      <c r="O283" s="155"/>
      <c r="P283" s="227"/>
    </row>
    <row r="284" spans="1:16" ht="15">
      <c r="A284" s="228"/>
      <c r="B284" s="229"/>
      <c r="C284" s="230"/>
      <c r="D284" s="231"/>
      <c r="E284" s="231"/>
      <c r="F284" s="232"/>
      <c r="G284" s="233"/>
      <c r="H284" s="234"/>
      <c r="I284" s="155"/>
      <c r="J284" s="155"/>
      <c r="K284" s="155"/>
      <c r="L284" s="159"/>
      <c r="M284" s="159"/>
      <c r="N284" s="155"/>
      <c r="O284" s="155"/>
      <c r="P284" s="227"/>
    </row>
    <row r="285" spans="1:16" ht="12.75">
      <c r="A285" s="228"/>
      <c r="N285" s="155"/>
      <c r="O285" s="155"/>
      <c r="P285" s="155"/>
    </row>
    <row r="286" spans="1:16" ht="12.75">
      <c r="A286" s="228"/>
      <c r="O286" s="155"/>
      <c r="P286" s="155"/>
    </row>
    <row r="287" spans="1:16" ht="12.75">
      <c r="A287" s="235"/>
      <c r="B287" s="236"/>
      <c r="C287" s="231"/>
      <c r="D287" s="231"/>
      <c r="E287" s="231"/>
      <c r="F287" s="231"/>
      <c r="G287" s="231"/>
      <c r="H287" s="237"/>
      <c r="I287" s="155"/>
      <c r="J287" s="155"/>
      <c r="K287" s="155"/>
      <c r="L287" s="155"/>
      <c r="M287" s="155"/>
      <c r="N287" s="155"/>
      <c r="O287" s="155"/>
      <c r="P287" s="155"/>
    </row>
    <row r="288" spans="1:16" ht="12.75">
      <c r="A288" s="235"/>
      <c r="B288" s="236"/>
      <c r="C288" s="231"/>
      <c r="D288" s="231"/>
      <c r="E288" s="231"/>
      <c r="F288" s="231"/>
      <c r="G288" s="231"/>
      <c r="H288" s="237"/>
      <c r="I288" s="155"/>
      <c r="J288" s="155"/>
      <c r="K288" s="155"/>
      <c r="L288" s="155"/>
      <c r="M288" s="155"/>
      <c r="N288" s="155"/>
      <c r="O288" s="155"/>
      <c r="P288" s="155"/>
    </row>
    <row r="289" spans="1:16" ht="12.75">
      <c r="A289" s="235"/>
      <c r="B289" s="236"/>
      <c r="C289" s="231"/>
      <c r="D289" s="231"/>
      <c r="E289" s="231"/>
      <c r="F289" s="231"/>
      <c r="G289" s="231"/>
      <c r="H289" s="237"/>
      <c r="I289" s="155"/>
      <c r="J289" s="155"/>
      <c r="K289" s="155"/>
      <c r="L289" s="155"/>
      <c r="M289" s="155"/>
      <c r="N289" s="155"/>
      <c r="O289" s="155"/>
      <c r="P289" s="155"/>
    </row>
    <row r="290" spans="1:16" ht="12.75">
      <c r="B290" s="238"/>
      <c r="H290" s="155"/>
      <c r="I290" s="155"/>
      <c r="J290" s="155"/>
      <c r="K290" s="155"/>
      <c r="L290" s="155"/>
      <c r="M290" s="155"/>
      <c r="N290" s="155"/>
      <c r="O290" s="155"/>
      <c r="P290" s="155"/>
    </row>
    <row r="291" spans="1:16" ht="12.75">
      <c r="B291" s="238"/>
      <c r="H291" s="155"/>
      <c r="I291" s="155"/>
      <c r="J291" s="155"/>
      <c r="K291" s="155"/>
      <c r="L291" s="155"/>
      <c r="M291" s="155"/>
      <c r="N291" s="155"/>
      <c r="O291" s="155"/>
      <c r="P291" s="155"/>
    </row>
    <row r="292" spans="1:16" ht="12.75">
      <c r="B292" s="238"/>
      <c r="H292" s="155"/>
      <c r="I292" s="155"/>
      <c r="J292" s="155"/>
      <c r="K292" s="155"/>
      <c r="L292" s="155"/>
      <c r="M292" s="155"/>
      <c r="N292" s="155"/>
      <c r="O292" s="155"/>
      <c r="P292" s="155"/>
    </row>
    <row r="293" spans="1:16" ht="12.75">
      <c r="B293" s="238"/>
      <c r="H293" s="155"/>
      <c r="I293" s="155"/>
      <c r="J293" s="155"/>
      <c r="K293" s="155"/>
      <c r="L293" s="155"/>
      <c r="M293" s="155"/>
      <c r="N293" s="155"/>
      <c r="O293" s="155"/>
      <c r="P293" s="155"/>
    </row>
    <row r="294" spans="1:16" ht="12.75">
      <c r="B294" s="238"/>
      <c r="H294" s="155"/>
      <c r="I294" s="155"/>
      <c r="J294" s="155"/>
      <c r="K294" s="155"/>
      <c r="L294" s="155"/>
      <c r="M294" s="155"/>
      <c r="N294" s="155"/>
      <c r="O294" s="155"/>
      <c r="P294" s="155"/>
    </row>
    <row r="295" spans="1:16" ht="12.75">
      <c r="B295" s="238"/>
      <c r="H295" s="155"/>
      <c r="I295" s="155"/>
      <c r="J295" s="155"/>
      <c r="K295" s="155"/>
      <c r="L295" s="155"/>
      <c r="M295" s="155"/>
      <c r="N295" s="155"/>
      <c r="O295" s="155"/>
      <c r="P295" s="155"/>
    </row>
    <row r="296" spans="1:16" ht="12.75">
      <c r="B296" s="238"/>
      <c r="H296" s="155"/>
      <c r="I296" s="155"/>
      <c r="J296" s="155"/>
      <c r="K296" s="155"/>
      <c r="L296" s="155"/>
      <c r="M296" s="155"/>
      <c r="N296" s="155"/>
      <c r="O296" s="155"/>
      <c r="P296" s="155"/>
    </row>
    <row r="297" spans="1:16" ht="12.75">
      <c r="B297" s="238"/>
      <c r="H297" s="155"/>
      <c r="I297" s="155"/>
      <c r="J297" s="155"/>
      <c r="K297" s="155"/>
      <c r="L297" s="155"/>
      <c r="M297" s="155"/>
      <c r="N297" s="155"/>
      <c r="O297" s="155"/>
      <c r="P297" s="155"/>
    </row>
    <row r="298" spans="1:16" ht="12.75">
      <c r="B298" s="238"/>
      <c r="H298" s="155"/>
      <c r="I298" s="155"/>
      <c r="J298" s="155"/>
      <c r="K298" s="155"/>
      <c r="L298" s="155"/>
      <c r="M298" s="155"/>
      <c r="N298" s="155"/>
      <c r="O298" s="155"/>
      <c r="P298" s="155"/>
    </row>
    <row r="299" spans="1:16" ht="12.75">
      <c r="B299" s="238"/>
      <c r="H299" s="155"/>
      <c r="I299" s="155"/>
      <c r="J299" s="155"/>
      <c r="K299" s="155"/>
      <c r="L299" s="155"/>
      <c r="M299" s="155"/>
      <c r="N299" s="155"/>
      <c r="O299" s="155"/>
      <c r="P299" s="155"/>
    </row>
    <row r="300" spans="1:16" ht="12.75">
      <c r="B300" s="238"/>
      <c r="H300" s="155"/>
      <c r="I300" s="155"/>
      <c r="J300" s="155"/>
      <c r="K300" s="155"/>
      <c r="L300" s="155"/>
      <c r="M300" s="155"/>
      <c r="N300" s="155"/>
      <c r="O300" s="155"/>
      <c r="P300" s="155"/>
    </row>
    <row r="301" spans="1:16" ht="12.75">
      <c r="B301" s="238"/>
      <c r="H301" s="155"/>
      <c r="I301" s="155"/>
      <c r="J301" s="155"/>
      <c r="K301" s="155"/>
      <c r="L301" s="155"/>
      <c r="M301" s="155"/>
      <c r="N301" s="155"/>
      <c r="O301" s="155"/>
      <c r="P301" s="155"/>
    </row>
    <row r="302" spans="1:16" ht="12.75">
      <c r="B302" s="238"/>
      <c r="H302" s="155"/>
      <c r="I302" s="155"/>
      <c r="J302" s="155"/>
      <c r="K302" s="155"/>
      <c r="L302" s="155"/>
      <c r="M302" s="155"/>
      <c r="N302" s="155"/>
      <c r="O302" s="155"/>
      <c r="P302" s="155"/>
    </row>
    <row r="303" spans="1:16" ht="12.75">
      <c r="B303" s="238"/>
      <c r="H303" s="155"/>
      <c r="I303" s="155"/>
      <c r="J303" s="155"/>
      <c r="K303" s="155"/>
      <c r="L303" s="155"/>
      <c r="M303" s="155"/>
      <c r="N303" s="155"/>
      <c r="O303" s="155"/>
      <c r="P303" s="155"/>
    </row>
    <row r="304" spans="1:16" ht="12.75">
      <c r="B304" s="238"/>
      <c r="H304" s="155"/>
      <c r="I304" s="155"/>
      <c r="J304" s="155"/>
      <c r="K304" s="155"/>
      <c r="L304" s="155"/>
      <c r="M304" s="155"/>
      <c r="N304" s="155"/>
      <c r="O304" s="155"/>
      <c r="P304" s="155"/>
    </row>
    <row r="305" spans="2:16" ht="12.75">
      <c r="B305" s="238"/>
      <c r="H305" s="155"/>
      <c r="I305" s="155"/>
      <c r="J305" s="155"/>
      <c r="K305" s="155"/>
      <c r="L305" s="155"/>
      <c r="M305" s="155"/>
      <c r="N305" s="155"/>
      <c r="O305" s="155"/>
      <c r="P305" s="155"/>
    </row>
    <row r="306" spans="2:16" ht="12.75">
      <c r="B306" s="238"/>
      <c r="H306" s="155"/>
      <c r="I306" s="155"/>
      <c r="J306" s="155"/>
      <c r="K306" s="155"/>
      <c r="L306" s="155"/>
      <c r="M306" s="155"/>
      <c r="N306" s="155"/>
      <c r="O306" s="155"/>
      <c r="P306" s="155"/>
    </row>
    <row r="307" spans="2:16" ht="12.75">
      <c r="B307" s="238"/>
      <c r="H307" s="155"/>
      <c r="I307" s="155"/>
      <c r="J307" s="155"/>
      <c r="K307" s="155"/>
      <c r="L307" s="155"/>
      <c r="M307" s="155"/>
      <c r="N307" s="155"/>
      <c r="O307" s="155"/>
      <c r="P307" s="155"/>
    </row>
    <row r="308" spans="2:16" ht="12.75">
      <c r="B308" s="238"/>
      <c r="H308" s="155"/>
      <c r="I308" s="155"/>
      <c r="J308" s="155"/>
      <c r="K308" s="155"/>
      <c r="L308" s="155"/>
      <c r="M308" s="155"/>
      <c r="N308" s="155"/>
      <c r="O308" s="155"/>
      <c r="P308" s="155"/>
    </row>
    <row r="309" spans="2:16" ht="12.75">
      <c r="B309" s="238"/>
      <c r="H309" s="155"/>
      <c r="I309" s="155"/>
      <c r="J309" s="155"/>
      <c r="K309" s="155"/>
      <c r="L309" s="155"/>
      <c r="M309" s="155"/>
      <c r="N309" s="155"/>
      <c r="O309" s="155"/>
      <c r="P309" s="155"/>
    </row>
    <row r="310" spans="2:16" ht="12.75">
      <c r="B310" s="238"/>
      <c r="H310" s="155"/>
      <c r="I310" s="155"/>
      <c r="J310" s="155"/>
      <c r="K310" s="155"/>
      <c r="L310" s="155"/>
      <c r="M310" s="155"/>
      <c r="N310" s="155"/>
      <c r="O310" s="155"/>
      <c r="P310" s="155"/>
    </row>
    <row r="311" spans="2:16" ht="12.75">
      <c r="B311" s="238"/>
      <c r="H311" s="155"/>
      <c r="I311" s="155"/>
      <c r="J311" s="155"/>
      <c r="K311" s="155"/>
      <c r="L311" s="155"/>
      <c r="M311" s="155"/>
      <c r="N311" s="155"/>
      <c r="O311" s="155"/>
      <c r="P311" s="155"/>
    </row>
    <row r="312" spans="2:16" ht="12.75">
      <c r="B312" s="238"/>
      <c r="H312" s="155"/>
      <c r="I312" s="155"/>
      <c r="J312" s="155"/>
      <c r="K312" s="155"/>
      <c r="L312" s="155"/>
      <c r="M312" s="155"/>
      <c r="N312" s="155"/>
      <c r="O312" s="155"/>
      <c r="P312" s="155"/>
    </row>
    <row r="313" spans="2:16" ht="12.75">
      <c r="B313" s="238"/>
      <c r="H313" s="155"/>
      <c r="I313" s="155"/>
      <c r="J313" s="155"/>
      <c r="K313" s="155"/>
      <c r="L313" s="155"/>
      <c r="M313" s="155"/>
      <c r="N313" s="155"/>
      <c r="O313" s="155"/>
      <c r="P313" s="155"/>
    </row>
    <row r="314" spans="2:16" ht="12.75">
      <c r="B314" s="238"/>
      <c r="H314" s="155"/>
      <c r="I314" s="155"/>
      <c r="J314" s="155"/>
      <c r="K314" s="155"/>
      <c r="L314" s="155"/>
      <c r="M314" s="155"/>
      <c r="N314" s="155"/>
      <c r="O314" s="155"/>
      <c r="P314" s="155"/>
    </row>
    <row r="315" spans="2:16" ht="12.75">
      <c r="B315" s="238"/>
      <c r="H315" s="155"/>
      <c r="I315" s="155"/>
      <c r="J315" s="155"/>
      <c r="K315" s="155"/>
      <c r="L315" s="155"/>
      <c r="M315" s="155"/>
      <c r="N315" s="155"/>
      <c r="O315" s="155"/>
      <c r="P315" s="155"/>
    </row>
    <row r="316" spans="2:16" ht="12.75">
      <c r="B316" s="238"/>
      <c r="H316" s="155"/>
      <c r="I316" s="155"/>
      <c r="J316" s="155"/>
      <c r="K316" s="155"/>
      <c r="L316" s="155"/>
      <c r="M316" s="155"/>
      <c r="N316" s="155"/>
      <c r="O316" s="155"/>
      <c r="P316" s="155"/>
    </row>
    <row r="317" spans="2:16" ht="12.75">
      <c r="B317" s="238"/>
      <c r="H317" s="155"/>
      <c r="I317" s="155"/>
      <c r="J317" s="155"/>
      <c r="K317" s="155"/>
      <c r="L317" s="155"/>
      <c r="M317" s="155"/>
      <c r="N317" s="155"/>
      <c r="O317" s="155"/>
      <c r="P317" s="155"/>
    </row>
    <row r="318" spans="2:16" ht="12.75">
      <c r="B318" s="238"/>
      <c r="H318" s="155"/>
      <c r="I318" s="155"/>
      <c r="J318" s="155"/>
      <c r="K318" s="155"/>
      <c r="L318" s="155"/>
      <c r="M318" s="155"/>
      <c r="N318" s="155"/>
      <c r="O318" s="155"/>
      <c r="P318" s="155"/>
    </row>
    <row r="319" spans="2:16" ht="12.75">
      <c r="B319" s="238"/>
      <c r="H319" s="155"/>
      <c r="I319" s="155"/>
      <c r="J319" s="155"/>
      <c r="K319" s="155"/>
      <c r="L319" s="155"/>
      <c r="M319" s="155"/>
      <c r="N319" s="155"/>
      <c r="O319" s="155"/>
      <c r="P319" s="155"/>
    </row>
    <row r="320" spans="2:16" ht="12.75">
      <c r="B320" s="238"/>
      <c r="H320" s="155"/>
      <c r="I320" s="155"/>
      <c r="J320" s="155"/>
      <c r="K320" s="155"/>
      <c r="L320" s="155"/>
      <c r="M320" s="155"/>
      <c r="N320" s="155"/>
      <c r="O320" s="155"/>
      <c r="P320" s="155"/>
    </row>
    <row r="321" spans="2:16" ht="12.75">
      <c r="B321" s="238"/>
      <c r="H321" s="155"/>
      <c r="I321" s="155"/>
      <c r="J321" s="155"/>
      <c r="K321" s="155"/>
      <c r="L321" s="155"/>
      <c r="M321" s="155"/>
      <c r="N321" s="155"/>
      <c r="O321" s="155"/>
      <c r="P321" s="155"/>
    </row>
    <row r="322" spans="2:16" ht="12.75">
      <c r="B322" s="238"/>
      <c r="H322" s="155"/>
      <c r="I322" s="155"/>
      <c r="J322" s="155"/>
      <c r="K322" s="155"/>
      <c r="L322" s="155"/>
      <c r="M322" s="155"/>
      <c r="N322" s="155"/>
      <c r="O322" s="155"/>
      <c r="P322" s="155"/>
    </row>
    <row r="323" spans="2:16" ht="12.75">
      <c r="B323" s="238"/>
      <c r="H323" s="155"/>
      <c r="I323" s="155"/>
      <c r="J323" s="155"/>
      <c r="K323" s="155"/>
      <c r="L323" s="155"/>
      <c r="M323" s="155"/>
      <c r="N323" s="155"/>
      <c r="O323" s="155"/>
      <c r="P323" s="155"/>
    </row>
    <row r="324" spans="2:16" ht="12.75">
      <c r="B324" s="238"/>
      <c r="H324" s="155"/>
      <c r="I324" s="155"/>
      <c r="J324" s="155"/>
      <c r="K324" s="155"/>
      <c r="L324" s="155"/>
      <c r="M324" s="155"/>
      <c r="N324" s="155"/>
      <c r="O324" s="155"/>
      <c r="P324" s="155"/>
    </row>
    <row r="325" spans="2:16" ht="12.75">
      <c r="B325" s="238"/>
      <c r="H325" s="155"/>
      <c r="I325" s="155"/>
      <c r="J325" s="155"/>
      <c r="K325" s="155"/>
      <c r="L325" s="155"/>
      <c r="M325" s="155"/>
      <c r="N325" s="155"/>
      <c r="O325" s="155"/>
      <c r="P325" s="155"/>
    </row>
    <row r="326" spans="2:16" ht="12.75">
      <c r="B326" s="238"/>
      <c r="H326" s="155"/>
      <c r="I326" s="239"/>
      <c r="L326" s="240"/>
      <c r="M326" s="241"/>
      <c r="N326" s="178"/>
      <c r="O326" s="242"/>
      <c r="P326" s="243"/>
    </row>
    <row r="327" spans="2:16" ht="12.75">
      <c r="B327" s="238"/>
      <c r="H327" s="155"/>
      <c r="I327" s="239"/>
      <c r="L327" s="240"/>
      <c r="M327" s="241"/>
      <c r="N327" s="178"/>
      <c r="O327" s="242"/>
      <c r="P327" s="243"/>
    </row>
    <row r="328" spans="2:16" ht="12.75">
      <c r="B328" s="238"/>
      <c r="H328" s="155"/>
      <c r="I328" s="239"/>
      <c r="L328" s="240"/>
      <c r="M328" s="241"/>
      <c r="N328" s="178"/>
      <c r="O328" s="242"/>
      <c r="P328" s="243"/>
    </row>
    <row r="329" spans="2:16" ht="12.75">
      <c r="B329" s="238"/>
      <c r="H329" s="155"/>
      <c r="I329" s="239"/>
      <c r="L329" s="240"/>
      <c r="M329" s="241"/>
      <c r="N329" s="178"/>
      <c r="O329" s="242"/>
      <c r="P329" s="243"/>
    </row>
    <row r="330" spans="2:16" ht="12.75">
      <c r="B330" s="238"/>
      <c r="H330" s="155"/>
      <c r="I330" s="239"/>
      <c r="L330" s="240"/>
      <c r="M330" s="241"/>
      <c r="N330" s="178"/>
      <c r="O330" s="242"/>
      <c r="P330" s="243"/>
    </row>
    <row r="331" spans="2:16" ht="12.75">
      <c r="B331" s="238"/>
      <c r="H331" s="155"/>
      <c r="I331" s="239"/>
      <c r="L331" s="240"/>
      <c r="M331" s="241"/>
      <c r="N331" s="178"/>
      <c r="O331" s="242"/>
      <c r="P331" s="243"/>
    </row>
    <row r="332" spans="2:16" ht="12.75">
      <c r="B332" s="238"/>
      <c r="H332" s="155"/>
      <c r="I332" s="239"/>
      <c r="L332" s="240"/>
      <c r="M332" s="241"/>
      <c r="N332" s="178"/>
      <c r="O332" s="242"/>
      <c r="P332" s="243"/>
    </row>
    <row r="333" spans="2:16" ht="12.75">
      <c r="B333" s="238"/>
      <c r="H333" s="155"/>
      <c r="I333" s="239"/>
      <c r="L333" s="240"/>
      <c r="M333" s="241"/>
      <c r="N333" s="178"/>
      <c r="O333" s="242"/>
      <c r="P333" s="243"/>
    </row>
    <row r="334" spans="2:16" ht="12.75">
      <c r="B334" s="238"/>
      <c r="H334" s="155"/>
      <c r="I334" s="239"/>
      <c r="L334" s="240"/>
      <c r="M334" s="241"/>
      <c r="N334" s="178"/>
      <c r="O334" s="242"/>
      <c r="P334" s="243"/>
    </row>
    <row r="335" spans="2:16" ht="12.75">
      <c r="B335" s="238"/>
      <c r="H335" s="155"/>
      <c r="I335" s="239"/>
      <c r="L335" s="240"/>
      <c r="M335" s="241"/>
      <c r="N335" s="178"/>
      <c r="O335" s="242"/>
      <c r="P335" s="243"/>
    </row>
    <row r="336" spans="2:16" ht="12.75">
      <c r="B336" s="238"/>
      <c r="H336" s="155"/>
      <c r="I336" s="239"/>
      <c r="L336" s="240"/>
      <c r="M336" s="241"/>
      <c r="N336" s="178"/>
      <c r="O336" s="242"/>
      <c r="P336" s="243"/>
    </row>
    <row r="337" spans="2:16" ht="12.75">
      <c r="B337" s="238"/>
      <c r="H337" s="155"/>
      <c r="I337" s="239"/>
      <c r="L337" s="240"/>
      <c r="M337" s="241"/>
      <c r="N337" s="178"/>
      <c r="O337" s="242"/>
      <c r="P337" s="243"/>
    </row>
    <row r="338" spans="2:16" ht="12.75">
      <c r="B338" s="238"/>
      <c r="H338" s="155"/>
      <c r="I338" s="239"/>
      <c r="L338" s="240"/>
      <c r="M338" s="241"/>
      <c r="N338" s="178"/>
      <c r="O338" s="242"/>
      <c r="P338" s="243"/>
    </row>
    <row r="339" spans="2:16" ht="12.75">
      <c r="B339" s="238"/>
      <c r="H339" s="155"/>
      <c r="I339" s="239"/>
      <c r="L339" s="240"/>
      <c r="M339" s="241"/>
      <c r="N339" s="178"/>
      <c r="O339" s="242"/>
      <c r="P339" s="243"/>
    </row>
    <row r="340" spans="2:16" ht="12.75">
      <c r="B340" s="238"/>
      <c r="H340" s="155"/>
      <c r="I340" s="239"/>
      <c r="L340" s="240"/>
      <c r="M340" s="241"/>
      <c r="N340" s="178"/>
      <c r="O340" s="242"/>
      <c r="P340" s="243"/>
    </row>
    <row r="341" spans="2:16" ht="12.75">
      <c r="B341" s="238"/>
      <c r="H341" s="155"/>
      <c r="I341" s="239"/>
      <c r="L341" s="240"/>
      <c r="M341" s="241"/>
      <c r="N341" s="178"/>
      <c r="O341" s="242"/>
      <c r="P341" s="243"/>
    </row>
    <row r="342" spans="2:16" ht="12.75">
      <c r="B342" s="238"/>
      <c r="H342" s="155"/>
      <c r="I342" s="239"/>
      <c r="L342" s="240"/>
      <c r="M342" s="241"/>
      <c r="N342" s="178"/>
      <c r="O342" s="242"/>
      <c r="P342" s="243"/>
    </row>
    <row r="343" spans="2:16" ht="12.75">
      <c r="B343" s="238"/>
      <c r="H343" s="155"/>
      <c r="I343" s="239"/>
      <c r="L343" s="240"/>
      <c r="M343" s="241"/>
      <c r="N343" s="178"/>
      <c r="O343" s="242"/>
      <c r="P343" s="243"/>
    </row>
    <row r="344" spans="2:16" ht="12.75">
      <c r="B344" s="238"/>
      <c r="H344" s="155"/>
      <c r="I344" s="239"/>
      <c r="L344" s="240"/>
      <c r="M344" s="241"/>
      <c r="N344" s="178"/>
      <c r="O344" s="242"/>
      <c r="P344" s="243"/>
    </row>
    <row r="345" spans="2:16" ht="12.75">
      <c r="B345" s="238"/>
      <c r="H345" s="155"/>
      <c r="I345" s="239"/>
      <c r="L345" s="240"/>
      <c r="M345" s="241"/>
      <c r="N345" s="178"/>
      <c r="O345" s="242"/>
      <c r="P345" s="243"/>
    </row>
    <row r="346" spans="2:16" ht="12.75">
      <c r="B346" s="238"/>
      <c r="H346" s="155"/>
      <c r="I346" s="239"/>
      <c r="L346" s="240"/>
      <c r="M346" s="241"/>
      <c r="N346" s="178"/>
      <c r="O346" s="242"/>
      <c r="P346" s="243"/>
    </row>
    <row r="347" spans="2:16" ht="12.75">
      <c r="B347" s="238"/>
      <c r="H347" s="155"/>
      <c r="I347" s="239"/>
      <c r="L347" s="240"/>
      <c r="M347" s="241"/>
      <c r="N347" s="178"/>
      <c r="O347" s="242"/>
      <c r="P347" s="243"/>
    </row>
    <row r="348" spans="2:16" ht="12.75">
      <c r="B348" s="238"/>
      <c r="H348" s="155"/>
      <c r="I348" s="239"/>
      <c r="L348" s="240"/>
      <c r="M348" s="241"/>
      <c r="N348" s="178"/>
      <c r="O348" s="242"/>
      <c r="P348" s="243"/>
    </row>
    <row r="349" spans="2:16" ht="12.75">
      <c r="B349" s="238"/>
      <c r="H349" s="155"/>
      <c r="I349" s="239"/>
      <c r="L349" s="240"/>
      <c r="M349" s="241"/>
      <c r="N349" s="178"/>
      <c r="O349" s="242"/>
      <c r="P349" s="243"/>
    </row>
    <row r="350" spans="2:16" ht="12.75">
      <c r="B350" s="238"/>
      <c r="H350" s="155"/>
      <c r="I350" s="239"/>
      <c r="L350" s="240"/>
      <c r="M350" s="241"/>
      <c r="N350" s="178"/>
      <c r="O350" s="242"/>
      <c r="P350" s="243"/>
    </row>
    <row r="351" spans="2:16" ht="12.75">
      <c r="B351" s="238"/>
      <c r="H351" s="155"/>
      <c r="I351" s="239"/>
      <c r="L351" s="240"/>
      <c r="M351" s="241"/>
      <c r="N351" s="178"/>
      <c r="O351" s="242"/>
      <c r="P351" s="243"/>
    </row>
    <row r="352" spans="2:16" ht="12.75">
      <c r="B352" s="238"/>
      <c r="H352" s="155"/>
      <c r="I352" s="239"/>
      <c r="L352" s="240"/>
      <c r="M352" s="241"/>
      <c r="N352" s="178"/>
      <c r="O352" s="242"/>
      <c r="P352" s="243"/>
    </row>
    <row r="353" spans="2:16" ht="12.75">
      <c r="B353" s="238"/>
      <c r="H353" s="155"/>
      <c r="I353" s="239"/>
      <c r="L353" s="240"/>
      <c r="M353" s="241"/>
      <c r="N353" s="178"/>
      <c r="O353" s="242"/>
      <c r="P353" s="243"/>
    </row>
    <row r="354" spans="2:16" ht="12.75">
      <c r="B354" s="238"/>
      <c r="H354" s="155"/>
      <c r="I354" s="239"/>
      <c r="L354" s="240"/>
      <c r="M354" s="241"/>
      <c r="N354" s="178"/>
      <c r="O354" s="242"/>
      <c r="P354" s="243"/>
    </row>
    <row r="355" spans="2:16" ht="12.75">
      <c r="B355" s="238"/>
      <c r="H355" s="155"/>
      <c r="I355" s="239"/>
      <c r="L355" s="240"/>
      <c r="M355" s="241"/>
      <c r="N355" s="178"/>
      <c r="O355" s="242"/>
      <c r="P355" s="243"/>
    </row>
    <row r="356" spans="2:16" ht="12.75">
      <c r="B356" s="238"/>
      <c r="H356" s="155"/>
      <c r="I356" s="239"/>
      <c r="L356" s="240"/>
      <c r="M356" s="241"/>
      <c r="N356" s="178"/>
      <c r="O356" s="242"/>
      <c r="P356" s="243"/>
    </row>
    <row r="357" spans="2:16" ht="12.75">
      <c r="B357" s="238"/>
      <c r="H357" s="155"/>
      <c r="I357" s="239"/>
      <c r="L357" s="240"/>
      <c r="M357" s="241"/>
      <c r="N357" s="178"/>
      <c r="O357" s="242"/>
      <c r="P357" s="243"/>
    </row>
    <row r="358" spans="2:16" ht="12.75">
      <c r="B358" s="238"/>
      <c r="H358" s="155"/>
      <c r="I358" s="239"/>
      <c r="L358" s="240"/>
      <c r="M358" s="241"/>
      <c r="N358" s="178"/>
      <c r="O358" s="242"/>
      <c r="P358" s="243"/>
    </row>
    <row r="359" spans="2:16" ht="12.75">
      <c r="B359" s="238"/>
      <c r="H359" s="155"/>
      <c r="I359" s="239"/>
      <c r="L359" s="240"/>
      <c r="M359" s="241"/>
      <c r="N359" s="178"/>
      <c r="O359" s="242"/>
      <c r="P359" s="243"/>
    </row>
    <row r="360" spans="2:16" ht="12.75">
      <c r="B360" s="238"/>
      <c r="H360" s="155"/>
      <c r="I360" s="239"/>
      <c r="L360" s="240"/>
      <c r="M360" s="241"/>
      <c r="N360" s="178"/>
      <c r="O360" s="242"/>
      <c r="P360" s="243"/>
    </row>
    <row r="361" spans="2:16" ht="12.75">
      <c r="B361" s="238"/>
      <c r="H361" s="155"/>
      <c r="I361" s="239"/>
      <c r="L361" s="240"/>
      <c r="M361" s="241"/>
      <c r="N361" s="178"/>
      <c r="O361" s="242"/>
      <c r="P361" s="243"/>
    </row>
    <row r="362" spans="2:16" ht="12.75">
      <c r="B362" s="238"/>
      <c r="H362" s="155"/>
      <c r="I362" s="239"/>
      <c r="L362" s="240"/>
      <c r="M362" s="241"/>
      <c r="N362" s="178"/>
      <c r="O362" s="242"/>
      <c r="P362" s="243"/>
    </row>
    <row r="363" spans="2:16" ht="12.75">
      <c r="B363" s="238"/>
      <c r="H363" s="155"/>
      <c r="I363" s="239"/>
      <c r="L363" s="240"/>
      <c r="M363" s="241"/>
      <c r="N363" s="178"/>
      <c r="O363" s="242"/>
      <c r="P363" s="243"/>
    </row>
    <row r="364" spans="2:16" ht="12.75">
      <c r="B364" s="238"/>
      <c r="H364" s="155"/>
      <c r="I364" s="239"/>
      <c r="L364" s="240"/>
      <c r="M364" s="241"/>
      <c r="N364" s="178"/>
      <c r="O364" s="242"/>
      <c r="P364" s="243"/>
    </row>
    <row r="365" spans="2:16" ht="12.75">
      <c r="B365" s="238"/>
      <c r="H365" s="155"/>
      <c r="I365" s="239"/>
      <c r="L365" s="240"/>
      <c r="M365" s="241"/>
      <c r="N365" s="178"/>
      <c r="O365" s="242"/>
      <c r="P365" s="243"/>
    </row>
    <row r="366" spans="2:16" ht="12.75">
      <c r="B366" s="238"/>
      <c r="H366" s="155"/>
      <c r="I366" s="239"/>
      <c r="L366" s="240"/>
      <c r="M366" s="241"/>
      <c r="N366" s="178"/>
      <c r="O366" s="242"/>
      <c r="P366" s="243"/>
    </row>
    <row r="367" spans="2:16" ht="12.75">
      <c r="B367" s="238"/>
      <c r="H367" s="155"/>
      <c r="I367" s="239"/>
      <c r="L367" s="240"/>
      <c r="M367" s="241"/>
      <c r="N367" s="178"/>
      <c r="O367" s="242"/>
      <c r="P367" s="243"/>
    </row>
    <row r="368" spans="2:16" ht="12.75">
      <c r="B368" s="238"/>
      <c r="H368" s="155"/>
      <c r="I368" s="239"/>
      <c r="L368" s="240"/>
      <c r="M368" s="241"/>
      <c r="N368" s="178"/>
      <c r="O368" s="242"/>
      <c r="P368" s="243"/>
    </row>
    <row r="369" spans="1:26" ht="12.75">
      <c r="B369" s="238"/>
      <c r="H369" s="155"/>
      <c r="I369" s="239"/>
      <c r="L369" s="240"/>
      <c r="M369" s="241"/>
      <c r="N369" s="178"/>
      <c r="O369" s="242"/>
      <c r="P369" s="243"/>
    </row>
    <row r="370" spans="1:26" ht="12.75">
      <c r="B370" s="238"/>
      <c r="H370" s="155"/>
      <c r="I370" s="239"/>
      <c r="L370" s="240"/>
      <c r="M370" s="241"/>
      <c r="N370" s="178"/>
      <c r="O370" s="242"/>
      <c r="P370" s="243"/>
    </row>
    <row r="371" spans="1:26" ht="12.75">
      <c r="B371" s="238"/>
      <c r="H371" s="155"/>
      <c r="I371" s="239"/>
      <c r="L371" s="240"/>
      <c r="M371" s="241"/>
      <c r="N371" s="178"/>
      <c r="O371" s="242"/>
      <c r="P371" s="243"/>
    </row>
    <row r="372" spans="1:26" ht="12.75">
      <c r="B372" s="238"/>
      <c r="H372" s="155"/>
      <c r="I372" s="239"/>
      <c r="L372" s="240"/>
      <c r="M372" s="241"/>
      <c r="N372" s="178"/>
      <c r="O372" s="242"/>
      <c r="P372" s="243"/>
    </row>
    <row r="373" spans="1:26" ht="12.75">
      <c r="B373" s="238"/>
      <c r="H373" s="155"/>
      <c r="I373" s="239"/>
      <c r="L373" s="240"/>
      <c r="M373" s="241"/>
      <c r="N373" s="178"/>
      <c r="O373" s="242"/>
      <c r="P373" s="243"/>
    </row>
    <row r="374" spans="1:26" ht="12.75">
      <c r="B374" s="238"/>
      <c r="H374" s="155"/>
      <c r="I374" s="239"/>
      <c r="L374" s="240"/>
      <c r="M374" s="241"/>
      <c r="N374" s="178"/>
      <c r="O374" s="242"/>
      <c r="P374" s="243"/>
    </row>
    <row r="375" spans="1:26" ht="12.75">
      <c r="B375" s="238"/>
      <c r="H375" s="155"/>
      <c r="I375" s="239"/>
      <c r="L375" s="240"/>
      <c r="M375" s="241"/>
      <c r="N375" s="178"/>
      <c r="O375" s="242"/>
      <c r="P375" s="243"/>
    </row>
    <row r="376" spans="1:26" ht="12.75">
      <c r="B376" s="238"/>
      <c r="H376" s="155"/>
      <c r="I376" s="239"/>
      <c r="L376" s="240"/>
      <c r="M376" s="241"/>
      <c r="N376" s="178"/>
      <c r="O376" s="242"/>
      <c r="P376" s="243"/>
    </row>
    <row r="377" spans="1:26" ht="12.75">
      <c r="B377" s="238"/>
      <c r="H377" s="155"/>
      <c r="I377" s="239"/>
      <c r="L377" s="240"/>
      <c r="M377" s="241"/>
      <c r="N377" s="178"/>
      <c r="O377" s="242"/>
      <c r="P377" s="243"/>
    </row>
    <row r="378" spans="1:26" ht="12.75">
      <c r="B378" s="238"/>
      <c r="H378" s="155"/>
      <c r="I378" s="239"/>
      <c r="L378" s="240"/>
      <c r="M378" s="241"/>
      <c r="N378" s="178"/>
      <c r="O378" s="242"/>
      <c r="P378" s="243"/>
    </row>
    <row r="379" spans="1:26" ht="12.75">
      <c r="B379" s="238"/>
      <c r="H379" s="155"/>
      <c r="I379" s="239"/>
      <c r="L379" s="240"/>
      <c r="M379" s="241"/>
      <c r="N379" s="178"/>
      <c r="O379" s="242"/>
      <c r="P379" s="243"/>
    </row>
    <row r="380" spans="1:26" ht="12.75">
      <c r="A380" s="244"/>
      <c r="B380" s="245"/>
      <c r="C380" s="244"/>
      <c r="D380" s="244"/>
      <c r="E380" s="244"/>
      <c r="F380" s="244"/>
      <c r="G380" s="244"/>
      <c r="H380" s="244"/>
      <c r="I380" s="244"/>
      <c r="J380" s="244"/>
      <c r="K380" s="244"/>
      <c r="L380" s="244"/>
      <c r="M380" s="244"/>
      <c r="N380" s="244"/>
      <c r="O380" s="244"/>
      <c r="P380" s="244"/>
      <c r="Q380" s="155"/>
      <c r="R380" s="155"/>
      <c r="S380" s="155"/>
      <c r="T380" s="155"/>
      <c r="U380" s="155"/>
      <c r="V380" s="155"/>
      <c r="W380" s="155"/>
      <c r="X380" s="155"/>
      <c r="Y380" s="155"/>
      <c r="Z380" s="155"/>
    </row>
    <row r="381" spans="1:26" ht="12.75">
      <c r="B381" s="238"/>
      <c r="H381" s="155"/>
      <c r="I381" s="239"/>
      <c r="L381" s="240"/>
      <c r="M381" s="241"/>
      <c r="N381" s="178"/>
      <c r="O381" s="242"/>
      <c r="P381" s="243"/>
    </row>
    <row r="382" spans="1:26" ht="12.75">
      <c r="B382" s="238"/>
      <c r="H382" s="155"/>
      <c r="I382" s="239"/>
      <c r="L382" s="240"/>
      <c r="M382" s="241"/>
      <c r="N382" s="178"/>
      <c r="O382" s="242"/>
      <c r="P382" s="243"/>
    </row>
    <row r="383" spans="1:26" ht="12.75">
      <c r="B383" s="238"/>
      <c r="H383" s="155"/>
      <c r="I383" s="239"/>
      <c r="L383" s="240"/>
      <c r="M383" s="241"/>
      <c r="N383" s="178"/>
      <c r="O383" s="242"/>
      <c r="P383" s="243"/>
    </row>
    <row r="384" spans="1:26" ht="12.75">
      <c r="B384" s="238"/>
      <c r="H384" s="155"/>
      <c r="I384" s="239"/>
      <c r="L384" s="240"/>
      <c r="M384" s="241"/>
      <c r="N384" s="178"/>
      <c r="O384" s="242"/>
      <c r="P384" s="243"/>
    </row>
    <row r="385" spans="2:16" ht="12.75">
      <c r="B385" s="238"/>
      <c r="H385" s="155"/>
      <c r="I385" s="239"/>
      <c r="L385" s="240"/>
      <c r="M385" s="241"/>
      <c r="N385" s="178"/>
      <c r="O385" s="242"/>
      <c r="P385" s="243"/>
    </row>
    <row r="386" spans="2:16" ht="12.75">
      <c r="B386" s="238"/>
      <c r="H386" s="155"/>
      <c r="I386" s="239"/>
      <c r="L386" s="240"/>
      <c r="M386" s="241"/>
      <c r="N386" s="178"/>
      <c r="O386" s="242"/>
      <c r="P386" s="243"/>
    </row>
    <row r="387" spans="2:16" ht="12.75">
      <c r="B387" s="238"/>
      <c r="H387" s="155"/>
      <c r="I387" s="239"/>
      <c r="L387" s="240"/>
      <c r="M387" s="241"/>
      <c r="N387" s="178"/>
      <c r="O387" s="242"/>
      <c r="P387" s="243"/>
    </row>
    <row r="388" spans="2:16" ht="12.75">
      <c r="B388" s="238"/>
      <c r="H388" s="155"/>
      <c r="I388" s="239"/>
      <c r="L388" s="240"/>
      <c r="M388" s="241"/>
      <c r="N388" s="178"/>
      <c r="O388" s="242"/>
      <c r="P388" s="243"/>
    </row>
    <row r="389" spans="2:16" ht="12.75">
      <c r="B389" s="238"/>
      <c r="H389" s="155"/>
      <c r="I389" s="239"/>
      <c r="L389" s="240"/>
      <c r="M389" s="241"/>
      <c r="N389" s="178"/>
      <c r="O389" s="242"/>
      <c r="P389" s="243"/>
    </row>
    <row r="390" spans="2:16" ht="12.75">
      <c r="B390" s="238"/>
      <c r="H390" s="155"/>
      <c r="I390" s="239"/>
      <c r="L390" s="240"/>
      <c r="M390" s="241"/>
      <c r="N390" s="178"/>
      <c r="O390" s="242"/>
      <c r="P390" s="243"/>
    </row>
    <row r="391" spans="2:16" ht="12.75">
      <c r="B391" s="238"/>
      <c r="H391" s="155"/>
      <c r="I391" s="239"/>
      <c r="L391" s="240"/>
      <c r="M391" s="241"/>
      <c r="N391" s="178"/>
      <c r="O391" s="242"/>
      <c r="P391" s="243"/>
    </row>
    <row r="392" spans="2:16" ht="12.75">
      <c r="B392" s="238"/>
      <c r="H392" s="155"/>
      <c r="I392" s="239"/>
      <c r="L392" s="240"/>
      <c r="M392" s="241"/>
      <c r="N392" s="178"/>
      <c r="O392" s="242"/>
      <c r="P392" s="243"/>
    </row>
    <row r="393" spans="2:16" ht="12.75">
      <c r="B393" s="238"/>
      <c r="H393" s="155"/>
      <c r="I393" s="239"/>
      <c r="L393" s="240"/>
      <c r="M393" s="241"/>
      <c r="N393" s="178"/>
      <c r="O393" s="242"/>
      <c r="P393" s="243"/>
    </row>
    <row r="394" spans="2:16" ht="12.75">
      <c r="B394" s="238"/>
      <c r="H394" s="155"/>
      <c r="I394" s="239"/>
      <c r="L394" s="240"/>
      <c r="M394" s="241"/>
      <c r="N394" s="178"/>
      <c r="O394" s="242"/>
      <c r="P394" s="243"/>
    </row>
    <row r="395" spans="2:16" ht="12.75">
      <c r="B395" s="238"/>
      <c r="H395" s="155"/>
      <c r="I395" s="239"/>
      <c r="L395" s="240"/>
      <c r="M395" s="241"/>
      <c r="N395" s="178"/>
      <c r="O395" s="242"/>
      <c r="P395" s="243"/>
    </row>
    <row r="396" spans="2:16" ht="12.75">
      <c r="B396" s="238"/>
      <c r="H396" s="155"/>
      <c r="I396" s="239"/>
      <c r="L396" s="240"/>
      <c r="M396" s="241"/>
      <c r="N396" s="178"/>
      <c r="O396" s="242"/>
      <c r="P396" s="243"/>
    </row>
    <row r="397" spans="2:16" ht="12.75">
      <c r="B397" s="238"/>
      <c r="H397" s="155"/>
      <c r="I397" s="239"/>
      <c r="L397" s="240"/>
      <c r="M397" s="241"/>
      <c r="N397" s="178"/>
      <c r="O397" s="242"/>
      <c r="P397" s="243"/>
    </row>
    <row r="398" spans="2:16" ht="12.75">
      <c r="B398" s="238"/>
      <c r="H398" s="155"/>
      <c r="I398" s="239"/>
      <c r="L398" s="240"/>
      <c r="M398" s="241"/>
      <c r="N398" s="178"/>
      <c r="O398" s="242"/>
      <c r="P398" s="243"/>
    </row>
    <row r="399" spans="2:16" ht="12.75">
      <c r="B399" s="238"/>
      <c r="H399" s="155"/>
      <c r="I399" s="239"/>
      <c r="L399" s="240"/>
      <c r="M399" s="241"/>
      <c r="N399" s="178"/>
      <c r="O399" s="242"/>
      <c r="P399" s="243"/>
    </row>
    <row r="400" spans="2:16" ht="12.75">
      <c r="B400" s="238"/>
      <c r="H400" s="155"/>
      <c r="I400" s="239"/>
      <c r="L400" s="240"/>
      <c r="M400" s="241"/>
      <c r="N400" s="178"/>
      <c r="O400" s="242"/>
      <c r="P400" s="243"/>
    </row>
    <row r="401" spans="2:16" ht="12.75">
      <c r="B401" s="238"/>
      <c r="H401" s="155"/>
      <c r="I401" s="239"/>
      <c r="L401" s="240"/>
      <c r="M401" s="241"/>
      <c r="N401" s="178"/>
      <c r="O401" s="242"/>
      <c r="P401" s="243"/>
    </row>
    <row r="402" spans="2:16" ht="12.75">
      <c r="B402" s="238"/>
      <c r="H402" s="155"/>
      <c r="I402" s="239"/>
      <c r="L402" s="240"/>
      <c r="M402" s="241"/>
      <c r="N402" s="178"/>
      <c r="O402" s="242"/>
      <c r="P402" s="243"/>
    </row>
    <row r="403" spans="2:16" ht="12.75">
      <c r="B403" s="238"/>
      <c r="H403" s="155"/>
      <c r="I403" s="239"/>
      <c r="L403" s="240"/>
      <c r="M403" s="241"/>
      <c r="N403" s="178"/>
      <c r="O403" s="242"/>
      <c r="P403" s="243"/>
    </row>
    <row r="404" spans="2:16" ht="12.75">
      <c r="B404" s="238"/>
      <c r="H404" s="155"/>
      <c r="I404" s="239"/>
      <c r="L404" s="240"/>
      <c r="M404" s="241"/>
      <c r="N404" s="178"/>
      <c r="O404" s="242"/>
      <c r="P404" s="243"/>
    </row>
    <row r="405" spans="2:16" ht="12.75">
      <c r="B405" s="238"/>
      <c r="H405" s="155"/>
      <c r="I405" s="239"/>
      <c r="L405" s="240"/>
      <c r="M405" s="241"/>
      <c r="N405" s="178"/>
      <c r="O405" s="242"/>
      <c r="P405" s="243"/>
    </row>
    <row r="406" spans="2:16" ht="12.75">
      <c r="B406" s="238"/>
      <c r="H406" s="155"/>
      <c r="I406" s="239"/>
      <c r="L406" s="240"/>
      <c r="M406" s="241"/>
      <c r="N406" s="178"/>
      <c r="O406" s="242"/>
      <c r="P406" s="243"/>
    </row>
    <row r="407" spans="2:16" ht="12.75">
      <c r="B407" s="238"/>
      <c r="H407" s="155"/>
      <c r="I407" s="239"/>
      <c r="L407" s="240"/>
      <c r="M407" s="241"/>
      <c r="N407" s="178"/>
      <c r="O407" s="242"/>
      <c r="P407" s="243"/>
    </row>
    <row r="408" spans="2:16" ht="12.75">
      <c r="B408" s="238"/>
      <c r="H408" s="155"/>
      <c r="I408" s="239"/>
      <c r="L408" s="240"/>
      <c r="M408" s="241"/>
      <c r="N408" s="178"/>
      <c r="O408" s="242"/>
      <c r="P408" s="243"/>
    </row>
    <row r="409" spans="2:16" ht="12.75">
      <c r="B409" s="238"/>
      <c r="H409" s="155"/>
      <c r="I409" s="239"/>
      <c r="L409" s="240"/>
      <c r="M409" s="241"/>
      <c r="N409" s="178"/>
      <c r="O409" s="242"/>
      <c r="P409" s="243"/>
    </row>
    <row r="410" spans="2:16" ht="12.75">
      <c r="B410" s="238"/>
      <c r="H410" s="155"/>
      <c r="I410" s="239"/>
      <c r="L410" s="240"/>
      <c r="M410" s="241"/>
      <c r="N410" s="178"/>
      <c r="O410" s="242"/>
      <c r="P410" s="243"/>
    </row>
    <row r="411" spans="2:16" ht="12.75">
      <c r="B411" s="238"/>
      <c r="H411" s="155"/>
      <c r="I411" s="239"/>
      <c r="L411" s="240"/>
      <c r="M411" s="241"/>
      <c r="N411" s="178"/>
      <c r="O411" s="242"/>
      <c r="P411" s="243"/>
    </row>
    <row r="412" spans="2:16" ht="12.75">
      <c r="B412" s="238"/>
      <c r="H412" s="155"/>
      <c r="I412" s="239"/>
      <c r="L412" s="240"/>
      <c r="M412" s="241"/>
      <c r="N412" s="178"/>
      <c r="O412" s="242"/>
      <c r="P412" s="243"/>
    </row>
    <row r="413" spans="2:16" ht="12.75">
      <c r="B413" s="238"/>
      <c r="H413" s="155"/>
      <c r="I413" s="239"/>
      <c r="L413" s="240"/>
      <c r="M413" s="241"/>
      <c r="N413" s="178"/>
      <c r="O413" s="242"/>
      <c r="P413" s="243"/>
    </row>
    <row r="414" spans="2:16" ht="12.75">
      <c r="B414" s="238"/>
      <c r="H414" s="155"/>
      <c r="I414" s="239"/>
      <c r="L414" s="240"/>
      <c r="M414" s="241"/>
      <c r="N414" s="178"/>
      <c r="O414" s="242"/>
      <c r="P414" s="243"/>
    </row>
    <row r="415" spans="2:16" ht="12.75">
      <c r="B415" s="238"/>
      <c r="H415" s="155"/>
      <c r="I415" s="239"/>
      <c r="L415" s="240"/>
      <c r="M415" s="241"/>
      <c r="N415" s="178"/>
      <c r="O415" s="242"/>
      <c r="P415" s="243"/>
    </row>
    <row r="416" spans="2:16" ht="12.75">
      <c r="B416" s="238"/>
      <c r="H416" s="155"/>
      <c r="I416" s="239"/>
      <c r="L416" s="240"/>
      <c r="M416" s="241"/>
      <c r="N416" s="178"/>
      <c r="O416" s="242"/>
      <c r="P416" s="243"/>
    </row>
    <row r="417" spans="2:16" ht="12.75">
      <c r="B417" s="238"/>
      <c r="H417" s="155"/>
      <c r="I417" s="239"/>
      <c r="L417" s="240"/>
      <c r="M417" s="241"/>
      <c r="N417" s="178"/>
      <c r="O417" s="242"/>
      <c r="P417" s="243"/>
    </row>
    <row r="418" spans="2:16" ht="12.75">
      <c r="B418" s="238"/>
      <c r="H418" s="155"/>
      <c r="I418" s="239"/>
      <c r="L418" s="240"/>
      <c r="M418" s="241"/>
      <c r="N418" s="178"/>
      <c r="O418" s="242"/>
      <c r="P418" s="243"/>
    </row>
    <row r="419" spans="2:16" ht="12.75">
      <c r="B419" s="238"/>
      <c r="H419" s="155"/>
      <c r="I419" s="239"/>
      <c r="L419" s="240"/>
      <c r="M419" s="241"/>
      <c r="N419" s="178"/>
      <c r="O419" s="242"/>
      <c r="P419" s="243"/>
    </row>
    <row r="420" spans="2:16" ht="12.75">
      <c r="B420" s="238"/>
      <c r="H420" s="155"/>
      <c r="I420" s="239"/>
      <c r="L420" s="240"/>
      <c r="M420" s="241"/>
      <c r="N420" s="178"/>
      <c r="O420" s="242"/>
      <c r="P420" s="243"/>
    </row>
    <row r="421" spans="2:16" ht="12.75">
      <c r="B421" s="238"/>
      <c r="H421" s="155"/>
      <c r="I421" s="239"/>
      <c r="L421" s="240"/>
      <c r="M421" s="241"/>
      <c r="N421" s="178"/>
      <c r="O421" s="242"/>
      <c r="P421" s="243"/>
    </row>
    <row r="422" spans="2:16" ht="12.75">
      <c r="B422" s="238"/>
      <c r="H422" s="155"/>
      <c r="I422" s="239"/>
      <c r="L422" s="240"/>
      <c r="M422" s="241"/>
      <c r="N422" s="178"/>
      <c r="O422" s="242"/>
      <c r="P422" s="243"/>
    </row>
    <row r="423" spans="2:16" ht="12.75">
      <c r="B423" s="238"/>
      <c r="H423" s="155"/>
      <c r="I423" s="239"/>
      <c r="L423" s="240"/>
      <c r="M423" s="241"/>
      <c r="N423" s="178"/>
      <c r="O423" s="242"/>
      <c r="P423" s="243"/>
    </row>
    <row r="424" spans="2:16" ht="12.75">
      <c r="B424" s="238"/>
      <c r="H424" s="155"/>
      <c r="I424" s="239"/>
      <c r="L424" s="240"/>
      <c r="M424" s="241"/>
      <c r="N424" s="178"/>
      <c r="O424" s="242"/>
      <c r="P424" s="243"/>
    </row>
    <row r="425" spans="2:16" ht="12.75">
      <c r="B425" s="238"/>
      <c r="H425" s="155"/>
      <c r="I425" s="239"/>
      <c r="L425" s="240"/>
      <c r="M425" s="241"/>
      <c r="N425" s="178"/>
      <c r="O425" s="242"/>
      <c r="P425" s="243"/>
    </row>
    <row r="426" spans="2:16" ht="12.75">
      <c r="B426" s="238"/>
      <c r="H426" s="155"/>
      <c r="I426" s="239"/>
      <c r="L426" s="240"/>
      <c r="M426" s="241"/>
      <c r="N426" s="178"/>
      <c r="O426" s="242"/>
      <c r="P426" s="243"/>
    </row>
    <row r="427" spans="2:16" ht="12.75">
      <c r="B427" s="238"/>
      <c r="H427" s="155"/>
      <c r="I427" s="239"/>
      <c r="L427" s="240"/>
      <c r="M427" s="241"/>
      <c r="N427" s="178"/>
      <c r="O427" s="242"/>
      <c r="P427" s="243"/>
    </row>
    <row r="428" spans="2:16" ht="12.75">
      <c r="B428" s="238"/>
      <c r="H428" s="155"/>
      <c r="I428" s="239"/>
      <c r="L428" s="240"/>
      <c r="M428" s="241"/>
      <c r="N428" s="178"/>
      <c r="O428" s="242"/>
      <c r="P428" s="243"/>
    </row>
    <row r="429" spans="2:16" ht="12.75">
      <c r="B429" s="238"/>
      <c r="H429" s="155"/>
      <c r="I429" s="239"/>
      <c r="L429" s="240"/>
      <c r="M429" s="241"/>
      <c r="N429" s="178"/>
      <c r="O429" s="242"/>
      <c r="P429" s="243"/>
    </row>
    <row r="430" spans="2:16" ht="12.75">
      <c r="B430" s="238"/>
      <c r="H430" s="155"/>
      <c r="I430" s="239"/>
      <c r="L430" s="240"/>
      <c r="M430" s="241"/>
      <c r="N430" s="178"/>
      <c r="O430" s="242"/>
      <c r="P430" s="243"/>
    </row>
    <row r="431" spans="2:16" ht="12.75">
      <c r="B431" s="238"/>
      <c r="H431" s="155"/>
      <c r="I431" s="239"/>
      <c r="L431" s="240"/>
      <c r="M431" s="241"/>
      <c r="N431" s="178"/>
      <c r="O431" s="242"/>
      <c r="P431" s="243"/>
    </row>
    <row r="432" spans="2:16" ht="12.75">
      <c r="B432" s="238"/>
      <c r="H432" s="155"/>
      <c r="I432" s="239"/>
      <c r="L432" s="240"/>
      <c r="M432" s="241"/>
      <c r="N432" s="178"/>
      <c r="O432" s="242"/>
      <c r="P432" s="243"/>
    </row>
    <row r="433" spans="2:16" ht="12.75">
      <c r="B433" s="238"/>
      <c r="H433" s="155"/>
      <c r="I433" s="239"/>
      <c r="L433" s="240"/>
      <c r="M433" s="241"/>
      <c r="N433" s="178"/>
      <c r="O433" s="242"/>
      <c r="P433" s="243"/>
    </row>
    <row r="434" spans="2:16" ht="12.75">
      <c r="B434" s="238"/>
      <c r="H434" s="155"/>
      <c r="I434" s="239"/>
      <c r="L434" s="240"/>
      <c r="M434" s="241"/>
      <c r="N434" s="178"/>
      <c r="O434" s="242"/>
      <c r="P434" s="243"/>
    </row>
    <row r="435" spans="2:16" ht="12.75">
      <c r="B435" s="238"/>
      <c r="H435" s="155"/>
      <c r="I435" s="239"/>
      <c r="L435" s="240"/>
      <c r="M435" s="241"/>
      <c r="N435" s="178"/>
      <c r="O435" s="242"/>
      <c r="P435" s="243"/>
    </row>
    <row r="436" spans="2:16" ht="12.75">
      <c r="B436" s="238"/>
      <c r="H436" s="155"/>
      <c r="I436" s="239"/>
      <c r="L436" s="240"/>
      <c r="M436" s="241"/>
      <c r="N436" s="178"/>
      <c r="O436" s="242"/>
      <c r="P436" s="243"/>
    </row>
    <row r="437" spans="2:16" ht="12.75">
      <c r="B437" s="238"/>
      <c r="H437" s="155"/>
      <c r="I437" s="239"/>
      <c r="L437" s="240"/>
      <c r="M437" s="241"/>
      <c r="N437" s="178"/>
      <c r="O437" s="242"/>
      <c r="P437" s="243"/>
    </row>
    <row r="438" spans="2:16" ht="12.75">
      <c r="B438" s="238"/>
      <c r="H438" s="155"/>
      <c r="I438" s="239"/>
      <c r="L438" s="240"/>
      <c r="M438" s="241"/>
      <c r="N438" s="178"/>
      <c r="O438" s="242"/>
      <c r="P438" s="243"/>
    </row>
    <row r="439" spans="2:16" ht="12.75">
      <c r="B439" s="238"/>
      <c r="H439" s="155"/>
      <c r="I439" s="239"/>
      <c r="L439" s="240"/>
      <c r="M439" s="241"/>
      <c r="N439" s="178"/>
      <c r="O439" s="242"/>
      <c r="P439" s="243"/>
    </row>
    <row r="440" spans="2:16" ht="12.75">
      <c r="B440" s="238"/>
      <c r="H440" s="155"/>
      <c r="I440" s="239"/>
      <c r="L440" s="240"/>
      <c r="M440" s="241"/>
      <c r="N440" s="178"/>
      <c r="O440" s="242"/>
      <c r="P440" s="243"/>
    </row>
    <row r="441" spans="2:16" ht="12.75">
      <c r="B441" s="238"/>
      <c r="H441" s="155"/>
      <c r="I441" s="239"/>
      <c r="L441" s="240"/>
      <c r="M441" s="241"/>
      <c r="N441" s="178"/>
      <c r="O441" s="242"/>
      <c r="P441" s="243"/>
    </row>
    <row r="442" spans="2:16" ht="12.75">
      <c r="B442" s="238"/>
      <c r="H442" s="155"/>
      <c r="I442" s="239"/>
      <c r="L442" s="240"/>
      <c r="M442" s="241"/>
      <c r="N442" s="178"/>
      <c r="O442" s="242"/>
      <c r="P442" s="243"/>
    </row>
    <row r="443" spans="2:16" ht="12.75">
      <c r="B443" s="238"/>
      <c r="H443" s="155"/>
      <c r="I443" s="239"/>
      <c r="L443" s="240"/>
      <c r="M443" s="241"/>
      <c r="N443" s="178"/>
      <c r="O443" s="242"/>
      <c r="P443" s="243"/>
    </row>
    <row r="444" spans="2:16" ht="12.75">
      <c r="B444" s="238"/>
      <c r="H444" s="155"/>
      <c r="I444" s="239"/>
      <c r="L444" s="240"/>
      <c r="M444" s="241"/>
      <c r="N444" s="178"/>
      <c r="O444" s="242"/>
      <c r="P444" s="243"/>
    </row>
    <row r="445" spans="2:16" ht="12.75">
      <c r="B445" s="238"/>
      <c r="H445" s="155"/>
      <c r="I445" s="239"/>
      <c r="L445" s="240"/>
      <c r="M445" s="241"/>
      <c r="N445" s="178"/>
      <c r="O445" s="242"/>
      <c r="P445" s="243"/>
    </row>
    <row r="446" spans="2:16" ht="12.75">
      <c r="B446" s="238"/>
      <c r="H446" s="155"/>
      <c r="I446" s="239"/>
      <c r="L446" s="240"/>
      <c r="M446" s="241"/>
      <c r="N446" s="178"/>
      <c r="O446" s="242"/>
      <c r="P446" s="243"/>
    </row>
    <row r="447" spans="2:16" ht="12.75">
      <c r="B447" s="238"/>
      <c r="H447" s="155"/>
      <c r="I447" s="239"/>
      <c r="L447" s="240"/>
      <c r="M447" s="241"/>
      <c r="N447" s="178"/>
      <c r="O447" s="242"/>
      <c r="P447" s="243"/>
    </row>
    <row r="448" spans="2:16" ht="12.75">
      <c r="B448" s="238"/>
      <c r="H448" s="155"/>
      <c r="I448" s="239"/>
      <c r="L448" s="240"/>
      <c r="M448" s="241"/>
      <c r="N448" s="178"/>
      <c r="O448" s="242"/>
      <c r="P448" s="243"/>
    </row>
    <row r="449" spans="2:16" ht="12.75">
      <c r="B449" s="238"/>
      <c r="H449" s="155"/>
      <c r="I449" s="239"/>
      <c r="L449" s="240"/>
      <c r="M449" s="241"/>
      <c r="N449" s="178"/>
      <c r="O449" s="242"/>
      <c r="P449" s="243"/>
    </row>
    <row r="450" spans="2:16" ht="12.75">
      <c r="B450" s="238"/>
      <c r="H450" s="155"/>
      <c r="I450" s="239"/>
      <c r="L450" s="240"/>
      <c r="M450" s="241"/>
      <c r="N450" s="178"/>
      <c r="O450" s="242"/>
      <c r="P450" s="243"/>
    </row>
    <row r="451" spans="2:16" ht="12.75">
      <c r="B451" s="238"/>
      <c r="H451" s="155"/>
      <c r="I451" s="239"/>
      <c r="L451" s="240"/>
      <c r="M451" s="241"/>
      <c r="N451" s="178"/>
      <c r="O451" s="242"/>
      <c r="P451" s="243"/>
    </row>
    <row r="452" spans="2:16" ht="12.75">
      <c r="B452" s="238"/>
      <c r="H452" s="155"/>
      <c r="I452" s="239"/>
      <c r="L452" s="240"/>
      <c r="M452" s="241"/>
      <c r="N452" s="178"/>
      <c r="O452" s="242"/>
      <c r="P452" s="243"/>
    </row>
    <row r="453" spans="2:16" ht="12.75">
      <c r="B453" s="238"/>
      <c r="H453" s="155"/>
      <c r="I453" s="239"/>
      <c r="L453" s="240"/>
      <c r="M453" s="241"/>
      <c r="N453" s="178"/>
      <c r="O453" s="242"/>
      <c r="P453" s="243"/>
    </row>
    <row r="454" spans="2:16" ht="12.75">
      <c r="B454" s="238"/>
      <c r="H454" s="155"/>
      <c r="I454" s="239"/>
      <c r="L454" s="240"/>
      <c r="M454" s="241"/>
      <c r="N454" s="178"/>
      <c r="O454" s="242"/>
      <c r="P454" s="243"/>
    </row>
    <row r="455" spans="2:16" ht="12.75">
      <c r="B455" s="238"/>
      <c r="H455" s="155"/>
      <c r="I455" s="239"/>
      <c r="L455" s="240"/>
      <c r="M455" s="241"/>
      <c r="N455" s="178"/>
      <c r="O455" s="242"/>
      <c r="P455" s="243"/>
    </row>
    <row r="456" spans="2:16" ht="12.75">
      <c r="B456" s="238"/>
      <c r="H456" s="155"/>
      <c r="I456" s="239"/>
      <c r="L456" s="240"/>
      <c r="M456" s="241"/>
      <c r="N456" s="178"/>
      <c r="O456" s="242"/>
      <c r="P456" s="243"/>
    </row>
    <row r="457" spans="2:16" ht="12.75">
      <c r="B457" s="238"/>
      <c r="H457" s="155"/>
      <c r="I457" s="239"/>
      <c r="L457" s="240"/>
      <c r="M457" s="241"/>
      <c r="N457" s="178"/>
      <c r="O457" s="242"/>
      <c r="P457" s="243"/>
    </row>
    <row r="458" spans="2:16" ht="12.75">
      <c r="B458" s="238"/>
      <c r="H458" s="155"/>
      <c r="I458" s="239"/>
      <c r="L458" s="240"/>
      <c r="M458" s="241"/>
      <c r="N458" s="178"/>
      <c r="O458" s="242"/>
      <c r="P458" s="243"/>
    </row>
    <row r="459" spans="2:16" ht="12.75">
      <c r="B459" s="238"/>
      <c r="H459" s="155"/>
      <c r="I459" s="239"/>
      <c r="L459" s="240"/>
      <c r="M459" s="241"/>
      <c r="N459" s="178"/>
      <c r="O459" s="242"/>
      <c r="P459" s="243"/>
    </row>
    <row r="460" spans="2:16" ht="12.75">
      <c r="B460" s="238"/>
      <c r="H460" s="155"/>
      <c r="I460" s="239"/>
      <c r="L460" s="240"/>
      <c r="M460" s="241"/>
      <c r="N460" s="178"/>
      <c r="O460" s="242"/>
      <c r="P460" s="243"/>
    </row>
    <row r="461" spans="2:16" ht="12.75">
      <c r="B461" s="238"/>
      <c r="H461" s="155"/>
      <c r="I461" s="239"/>
      <c r="L461" s="240"/>
      <c r="M461" s="241"/>
      <c r="N461" s="178"/>
      <c r="O461" s="242"/>
      <c r="P461" s="243"/>
    </row>
    <row r="462" spans="2:16" ht="12.75">
      <c r="B462" s="238"/>
      <c r="H462" s="155"/>
      <c r="I462" s="239"/>
      <c r="L462" s="240"/>
      <c r="M462" s="241"/>
      <c r="N462" s="178"/>
      <c r="O462" s="242"/>
      <c r="P462" s="243"/>
    </row>
    <row r="463" spans="2:16" ht="12.75">
      <c r="B463" s="238"/>
      <c r="H463" s="155"/>
      <c r="I463" s="239"/>
      <c r="L463" s="240"/>
      <c r="M463" s="241"/>
      <c r="N463" s="178"/>
      <c r="O463" s="242"/>
      <c r="P463" s="243"/>
    </row>
    <row r="464" spans="2:16" ht="12.75">
      <c r="B464" s="238"/>
      <c r="H464" s="155"/>
      <c r="I464" s="239"/>
      <c r="L464" s="240"/>
      <c r="M464" s="241"/>
      <c r="N464" s="178"/>
      <c r="O464" s="242"/>
      <c r="P464" s="243"/>
    </row>
    <row r="465" spans="2:16" ht="12.75">
      <c r="B465" s="238"/>
      <c r="H465" s="155"/>
      <c r="I465" s="239"/>
      <c r="L465" s="240"/>
      <c r="M465" s="241"/>
      <c r="N465" s="178"/>
      <c r="O465" s="242"/>
      <c r="P465" s="243"/>
    </row>
    <row r="466" spans="2:16" ht="12.75">
      <c r="B466" s="238"/>
      <c r="H466" s="155"/>
      <c r="I466" s="239"/>
      <c r="L466" s="240"/>
      <c r="M466" s="241"/>
      <c r="N466" s="178"/>
      <c r="O466" s="242"/>
      <c r="P466" s="243"/>
    </row>
    <row r="467" spans="2:16" ht="12.75">
      <c r="B467" s="238"/>
      <c r="H467" s="155"/>
      <c r="I467" s="239"/>
      <c r="L467" s="240"/>
      <c r="M467" s="241"/>
      <c r="N467" s="178"/>
      <c r="O467" s="242"/>
      <c r="P467" s="243"/>
    </row>
    <row r="468" spans="2:16" ht="12.75">
      <c r="B468" s="238"/>
      <c r="H468" s="155"/>
      <c r="I468" s="239"/>
      <c r="L468" s="240"/>
      <c r="M468" s="241"/>
      <c r="N468" s="178"/>
      <c r="O468" s="242"/>
      <c r="P468" s="243"/>
    </row>
    <row r="469" spans="2:16" ht="12.75">
      <c r="B469" s="238"/>
      <c r="H469" s="155"/>
      <c r="I469" s="239"/>
      <c r="L469" s="240"/>
      <c r="M469" s="241"/>
      <c r="N469" s="178"/>
      <c r="O469" s="242"/>
      <c r="P469" s="243"/>
    </row>
    <row r="470" spans="2:16" ht="12.75">
      <c r="B470" s="238"/>
      <c r="H470" s="155"/>
      <c r="I470" s="239"/>
      <c r="L470" s="240"/>
      <c r="M470" s="241"/>
      <c r="N470" s="178"/>
      <c r="O470" s="242"/>
      <c r="P470" s="243"/>
    </row>
    <row r="471" spans="2:16" ht="12.75">
      <c r="B471" s="238"/>
      <c r="H471" s="155"/>
      <c r="I471" s="239"/>
      <c r="L471" s="240"/>
      <c r="M471" s="241"/>
      <c r="N471" s="178"/>
      <c r="O471" s="242"/>
      <c r="P471" s="243"/>
    </row>
    <row r="472" spans="2:16" ht="12.75">
      <c r="B472" s="238"/>
      <c r="H472" s="155"/>
      <c r="I472" s="239"/>
      <c r="L472" s="240"/>
      <c r="M472" s="241"/>
      <c r="N472" s="178"/>
      <c r="O472" s="242"/>
      <c r="P472" s="243"/>
    </row>
    <row r="473" spans="2:16" ht="12.75">
      <c r="B473" s="238"/>
      <c r="H473" s="155"/>
      <c r="I473" s="239"/>
      <c r="L473" s="240"/>
      <c r="M473" s="241"/>
      <c r="N473" s="178"/>
      <c r="O473" s="242"/>
      <c r="P473" s="243"/>
    </row>
    <row r="474" spans="2:16" ht="12.75">
      <c r="B474" s="238"/>
      <c r="H474" s="155"/>
      <c r="I474" s="239"/>
      <c r="L474" s="240"/>
      <c r="M474" s="241"/>
      <c r="N474" s="178"/>
      <c r="O474" s="242"/>
      <c r="P474" s="243"/>
    </row>
    <row r="475" spans="2:16" ht="12.75">
      <c r="B475" s="238"/>
      <c r="H475" s="155"/>
      <c r="I475" s="239"/>
      <c r="L475" s="240"/>
      <c r="M475" s="241"/>
      <c r="N475" s="178"/>
      <c r="O475" s="242"/>
      <c r="P475" s="243"/>
    </row>
    <row r="476" spans="2:16" ht="12.75">
      <c r="B476" s="238"/>
      <c r="H476" s="155"/>
      <c r="I476" s="239"/>
      <c r="L476" s="240"/>
      <c r="M476" s="241"/>
      <c r="N476" s="178"/>
      <c r="O476" s="242"/>
      <c r="P476" s="243"/>
    </row>
    <row r="477" spans="2:16" ht="12.75">
      <c r="B477" s="238"/>
      <c r="H477" s="155"/>
      <c r="I477" s="239"/>
      <c r="L477" s="240"/>
      <c r="M477" s="241"/>
      <c r="N477" s="178"/>
      <c r="O477" s="242"/>
      <c r="P477" s="243"/>
    </row>
    <row r="478" spans="2:16" ht="12.75">
      <c r="B478" s="238"/>
      <c r="H478" s="155"/>
      <c r="I478" s="239"/>
      <c r="L478" s="240"/>
      <c r="M478" s="241"/>
      <c r="N478" s="178"/>
      <c r="O478" s="242"/>
      <c r="P478" s="243"/>
    </row>
    <row r="479" spans="2:16" ht="12.75">
      <c r="B479" s="238"/>
      <c r="H479" s="155"/>
      <c r="I479" s="239"/>
      <c r="L479" s="240"/>
      <c r="M479" s="241"/>
      <c r="N479" s="178"/>
      <c r="O479" s="242"/>
      <c r="P479" s="243"/>
    </row>
    <row r="480" spans="2:16" ht="12.75">
      <c r="B480" s="238"/>
      <c r="H480" s="155"/>
      <c r="I480" s="239"/>
      <c r="L480" s="240"/>
      <c r="M480" s="241"/>
      <c r="N480" s="178"/>
      <c r="O480" s="242"/>
      <c r="P480" s="243"/>
    </row>
    <row r="481" spans="2:16" ht="12.75">
      <c r="B481" s="238"/>
      <c r="H481" s="155"/>
      <c r="I481" s="239"/>
      <c r="L481" s="240"/>
      <c r="M481" s="241"/>
      <c r="N481" s="178"/>
      <c r="O481" s="242"/>
      <c r="P481" s="243"/>
    </row>
    <row r="482" spans="2:16" ht="12.75">
      <c r="B482" s="238"/>
      <c r="H482" s="155"/>
      <c r="I482" s="239"/>
      <c r="L482" s="240"/>
      <c r="M482" s="241"/>
      <c r="N482" s="178"/>
      <c r="O482" s="242"/>
      <c r="P482" s="243"/>
    </row>
    <row r="483" spans="2:16" ht="12.75">
      <c r="B483" s="238"/>
      <c r="H483" s="155"/>
      <c r="I483" s="239"/>
      <c r="L483" s="240"/>
      <c r="M483" s="241"/>
      <c r="N483" s="178"/>
      <c r="O483" s="242"/>
      <c r="P483" s="243"/>
    </row>
    <row r="484" spans="2:16" ht="12.75">
      <c r="B484" s="238"/>
      <c r="H484" s="155"/>
      <c r="I484" s="239"/>
      <c r="L484" s="240"/>
      <c r="M484" s="241"/>
      <c r="N484" s="178"/>
      <c r="O484" s="242"/>
      <c r="P484" s="243"/>
    </row>
    <row r="485" spans="2:16" ht="12.75">
      <c r="B485" s="238"/>
      <c r="H485" s="155"/>
      <c r="I485" s="239"/>
      <c r="L485" s="240"/>
      <c r="M485" s="241"/>
      <c r="N485" s="178"/>
      <c r="O485" s="242"/>
      <c r="P485" s="243"/>
    </row>
    <row r="486" spans="2:16" ht="12.75">
      <c r="B486" s="238"/>
      <c r="H486" s="155"/>
      <c r="I486" s="239"/>
      <c r="L486" s="240"/>
      <c r="M486" s="241"/>
      <c r="N486" s="178"/>
      <c r="O486" s="242"/>
      <c r="P486" s="243"/>
    </row>
    <row r="487" spans="2:16" ht="12.75">
      <c r="B487" s="238"/>
      <c r="H487" s="155"/>
      <c r="I487" s="239"/>
      <c r="L487" s="240"/>
      <c r="M487" s="241"/>
      <c r="N487" s="178"/>
      <c r="O487" s="242"/>
      <c r="P487" s="243"/>
    </row>
    <row r="488" spans="2:16" ht="12.75">
      <c r="B488" s="238"/>
      <c r="H488" s="155"/>
      <c r="I488" s="239"/>
      <c r="L488" s="240"/>
      <c r="M488" s="241"/>
      <c r="N488" s="178"/>
      <c r="O488" s="242"/>
      <c r="P488" s="243"/>
    </row>
    <row r="489" spans="2:16" ht="12.75">
      <c r="B489" s="238"/>
      <c r="H489" s="155"/>
      <c r="I489" s="239"/>
      <c r="L489" s="240"/>
      <c r="M489" s="241"/>
      <c r="N489" s="178"/>
      <c r="O489" s="242"/>
      <c r="P489" s="243"/>
    </row>
    <row r="490" spans="2:16" ht="12.75">
      <c r="B490" s="238"/>
      <c r="H490" s="155"/>
      <c r="I490" s="239"/>
      <c r="L490" s="240"/>
      <c r="M490" s="241"/>
      <c r="N490" s="178"/>
      <c r="O490" s="242"/>
      <c r="P490" s="243"/>
    </row>
    <row r="491" spans="2:16" ht="12.75">
      <c r="B491" s="238"/>
      <c r="H491" s="155"/>
      <c r="I491" s="239"/>
      <c r="L491" s="240"/>
      <c r="M491" s="241"/>
      <c r="N491" s="178"/>
      <c r="O491" s="242"/>
      <c r="P491" s="243"/>
    </row>
    <row r="492" spans="2:16" ht="12.75">
      <c r="B492" s="238"/>
      <c r="H492" s="155"/>
      <c r="I492" s="239"/>
      <c r="L492" s="240"/>
      <c r="M492" s="241"/>
      <c r="N492" s="178"/>
      <c r="O492" s="242"/>
      <c r="P492" s="243"/>
    </row>
    <row r="493" spans="2:16" ht="12.75">
      <c r="B493" s="238"/>
      <c r="H493" s="155"/>
      <c r="I493" s="239"/>
      <c r="L493" s="240"/>
      <c r="M493" s="241"/>
      <c r="N493" s="178"/>
      <c r="O493" s="242"/>
      <c r="P493" s="243"/>
    </row>
    <row r="494" spans="2:16" ht="12.75">
      <c r="B494" s="238"/>
      <c r="H494" s="155"/>
      <c r="I494" s="239"/>
      <c r="L494" s="240"/>
      <c r="M494" s="241"/>
      <c r="N494" s="178"/>
      <c r="O494" s="242"/>
      <c r="P494" s="243"/>
    </row>
    <row r="495" spans="2:16" ht="12.75">
      <c r="B495" s="238"/>
      <c r="H495" s="155"/>
      <c r="I495" s="239"/>
      <c r="L495" s="240"/>
      <c r="M495" s="241"/>
      <c r="N495" s="178"/>
      <c r="O495" s="242"/>
      <c r="P495" s="243"/>
    </row>
    <row r="496" spans="2:16" ht="12.75">
      <c r="B496" s="238"/>
      <c r="H496" s="155"/>
      <c r="I496" s="239"/>
      <c r="L496" s="240"/>
      <c r="M496" s="241"/>
      <c r="N496" s="178"/>
      <c r="O496" s="242"/>
      <c r="P496" s="243"/>
    </row>
    <row r="497" spans="2:16" ht="12.75">
      <c r="B497" s="238"/>
      <c r="H497" s="155"/>
      <c r="I497" s="239"/>
      <c r="L497" s="240"/>
      <c r="M497" s="241"/>
      <c r="N497" s="178"/>
      <c r="O497" s="242"/>
      <c r="P497" s="243"/>
    </row>
    <row r="498" spans="2:16" ht="12.75">
      <c r="B498" s="238"/>
      <c r="H498" s="155"/>
      <c r="I498" s="239"/>
      <c r="L498" s="240"/>
      <c r="M498" s="241"/>
      <c r="N498" s="178"/>
      <c r="O498" s="242"/>
      <c r="P498" s="243"/>
    </row>
    <row r="499" spans="2:16" ht="12.75">
      <c r="B499" s="238"/>
      <c r="H499" s="155"/>
      <c r="I499" s="239"/>
      <c r="L499" s="240"/>
      <c r="M499" s="241"/>
      <c r="N499" s="178"/>
      <c r="O499" s="242"/>
      <c r="P499" s="243"/>
    </row>
    <row r="500" spans="2:16" ht="12.75">
      <c r="B500" s="238"/>
      <c r="H500" s="155"/>
      <c r="I500" s="239"/>
      <c r="L500" s="240"/>
      <c r="M500" s="241"/>
      <c r="N500" s="178"/>
      <c r="O500" s="242"/>
      <c r="P500" s="243"/>
    </row>
    <row r="501" spans="2:16" ht="12.75">
      <c r="B501" s="238"/>
      <c r="H501" s="155"/>
      <c r="I501" s="239"/>
      <c r="L501" s="240"/>
      <c r="M501" s="241"/>
      <c r="N501" s="178"/>
      <c r="O501" s="242"/>
      <c r="P501" s="243"/>
    </row>
    <row r="502" spans="2:16" ht="12.75">
      <c r="B502" s="238"/>
      <c r="H502" s="155"/>
      <c r="I502" s="239"/>
      <c r="L502" s="240"/>
      <c r="M502" s="241"/>
      <c r="N502" s="178"/>
      <c r="O502" s="242"/>
      <c r="P502" s="243"/>
    </row>
    <row r="503" spans="2:16" ht="12.75">
      <c r="B503" s="238"/>
      <c r="H503" s="155"/>
      <c r="I503" s="239"/>
      <c r="L503" s="240"/>
      <c r="M503" s="241"/>
      <c r="N503" s="178"/>
      <c r="O503" s="242"/>
      <c r="P503" s="243"/>
    </row>
    <row r="504" spans="2:16" ht="12.75">
      <c r="B504" s="238"/>
      <c r="H504" s="155"/>
      <c r="I504" s="239"/>
      <c r="L504" s="240"/>
      <c r="M504" s="241"/>
      <c r="N504" s="178"/>
      <c r="O504" s="242"/>
      <c r="P504" s="243"/>
    </row>
    <row r="505" spans="2:16" ht="12.75">
      <c r="B505" s="238"/>
      <c r="H505" s="155"/>
      <c r="I505" s="239"/>
      <c r="L505" s="240"/>
      <c r="M505" s="241"/>
      <c r="N505" s="178"/>
      <c r="O505" s="242"/>
      <c r="P505" s="243"/>
    </row>
    <row r="506" spans="2:16" ht="12.75">
      <c r="B506" s="238"/>
      <c r="H506" s="155"/>
      <c r="I506" s="239"/>
      <c r="L506" s="240"/>
      <c r="M506" s="241"/>
      <c r="N506" s="178"/>
      <c r="O506" s="242"/>
      <c r="P506" s="243"/>
    </row>
    <row r="507" spans="2:16" ht="12.75">
      <c r="B507" s="238"/>
      <c r="H507" s="155"/>
      <c r="I507" s="239"/>
      <c r="L507" s="240"/>
      <c r="M507" s="241"/>
      <c r="N507" s="178"/>
      <c r="O507" s="242"/>
      <c r="P507" s="243"/>
    </row>
    <row r="508" spans="2:16" ht="12.75">
      <c r="B508" s="238"/>
      <c r="H508" s="155"/>
      <c r="I508" s="239"/>
      <c r="L508" s="240"/>
      <c r="M508" s="241"/>
      <c r="N508" s="178"/>
      <c r="O508" s="242"/>
      <c r="P508" s="243"/>
    </row>
    <row r="509" spans="2:16" ht="12.75">
      <c r="B509" s="238"/>
      <c r="H509" s="155"/>
      <c r="I509" s="239"/>
      <c r="L509" s="240"/>
      <c r="M509" s="241"/>
      <c r="N509" s="178"/>
      <c r="O509" s="242"/>
      <c r="P509" s="243"/>
    </row>
    <row r="510" spans="2:16" ht="12.75">
      <c r="B510" s="238"/>
      <c r="H510" s="155"/>
      <c r="I510" s="239"/>
      <c r="L510" s="240"/>
      <c r="M510" s="241"/>
      <c r="N510" s="178"/>
      <c r="O510" s="242"/>
      <c r="P510" s="243"/>
    </row>
    <row r="511" spans="2:16" ht="12.75">
      <c r="B511" s="238"/>
      <c r="H511" s="155"/>
      <c r="I511" s="239"/>
      <c r="L511" s="240"/>
      <c r="M511" s="241"/>
      <c r="N511" s="178"/>
      <c r="O511" s="242"/>
      <c r="P511" s="243"/>
    </row>
    <row r="512" spans="2:16" ht="12.75">
      <c r="B512" s="238"/>
      <c r="H512" s="155"/>
      <c r="I512" s="239"/>
      <c r="L512" s="240"/>
      <c r="M512" s="241"/>
      <c r="N512" s="178"/>
      <c r="O512" s="242"/>
      <c r="P512" s="243"/>
    </row>
    <row r="513" spans="2:16" ht="12.75">
      <c r="B513" s="238"/>
      <c r="H513" s="155"/>
      <c r="I513" s="239"/>
      <c r="L513" s="240"/>
      <c r="M513" s="241"/>
      <c r="N513" s="178"/>
      <c r="O513" s="242"/>
      <c r="P513" s="243"/>
    </row>
    <row r="514" spans="2:16" ht="12.75">
      <c r="B514" s="238"/>
      <c r="H514" s="155"/>
      <c r="I514" s="239"/>
      <c r="L514" s="240"/>
      <c r="M514" s="241"/>
      <c r="N514" s="178"/>
      <c r="O514" s="242"/>
      <c r="P514" s="243"/>
    </row>
    <row r="515" spans="2:16" ht="12.75">
      <c r="B515" s="238"/>
      <c r="H515" s="155"/>
      <c r="I515" s="239"/>
      <c r="L515" s="240"/>
      <c r="M515" s="241"/>
      <c r="N515" s="178"/>
      <c r="O515" s="242"/>
      <c r="P515" s="243"/>
    </row>
    <row r="516" spans="2:16" ht="12.75">
      <c r="B516" s="238"/>
      <c r="H516" s="155"/>
      <c r="I516" s="239"/>
      <c r="L516" s="240"/>
      <c r="M516" s="241"/>
      <c r="N516" s="178"/>
      <c r="O516" s="242"/>
      <c r="P516" s="243"/>
    </row>
    <row r="517" spans="2:16" ht="12.75">
      <c r="B517" s="238"/>
      <c r="H517" s="155"/>
      <c r="I517" s="239"/>
      <c r="L517" s="240"/>
      <c r="M517" s="241"/>
      <c r="N517" s="178"/>
      <c r="O517" s="242"/>
      <c r="P517" s="243"/>
    </row>
    <row r="518" spans="2:16" ht="12.75">
      <c r="B518" s="238"/>
      <c r="H518" s="155"/>
      <c r="I518" s="239"/>
      <c r="L518" s="240"/>
      <c r="M518" s="241"/>
      <c r="N518" s="178"/>
      <c r="O518" s="242"/>
      <c r="P518" s="243"/>
    </row>
    <row r="519" spans="2:16" ht="12.75">
      <c r="B519" s="238"/>
      <c r="H519" s="155"/>
      <c r="I519" s="239"/>
      <c r="L519" s="240"/>
      <c r="M519" s="241"/>
      <c r="N519" s="178"/>
      <c r="O519" s="242"/>
      <c r="P519" s="243"/>
    </row>
    <row r="520" spans="2:16" ht="12.75">
      <c r="B520" s="238"/>
      <c r="H520" s="155"/>
      <c r="I520" s="239"/>
      <c r="L520" s="240"/>
      <c r="M520" s="241"/>
      <c r="N520" s="178"/>
      <c r="O520" s="242"/>
      <c r="P520" s="243"/>
    </row>
    <row r="521" spans="2:16" ht="12.75">
      <c r="B521" s="238"/>
      <c r="H521" s="155"/>
      <c r="I521" s="239"/>
      <c r="L521" s="240"/>
      <c r="M521" s="241"/>
      <c r="N521" s="178"/>
      <c r="O521" s="242"/>
      <c r="P521" s="243"/>
    </row>
    <row r="522" spans="2:16" ht="12.75">
      <c r="B522" s="238"/>
      <c r="H522" s="155"/>
      <c r="I522" s="239"/>
      <c r="L522" s="240"/>
      <c r="M522" s="241"/>
      <c r="N522" s="178"/>
      <c r="O522" s="242"/>
      <c r="P522" s="243"/>
    </row>
    <row r="523" spans="2:16" ht="12.75">
      <c r="B523" s="238"/>
      <c r="H523" s="155"/>
      <c r="I523" s="239"/>
      <c r="L523" s="240"/>
      <c r="M523" s="241"/>
      <c r="N523" s="178"/>
      <c r="O523" s="242"/>
      <c r="P523" s="243"/>
    </row>
    <row r="524" spans="2:16" ht="12.75">
      <c r="B524" s="238"/>
      <c r="H524" s="155"/>
      <c r="I524" s="239"/>
      <c r="L524" s="240"/>
      <c r="M524" s="241"/>
      <c r="N524" s="178"/>
      <c r="O524" s="242"/>
      <c r="P524" s="243"/>
    </row>
    <row r="525" spans="2:16" ht="12.75">
      <c r="B525" s="238"/>
      <c r="H525" s="155"/>
      <c r="I525" s="239"/>
      <c r="L525" s="240"/>
      <c r="M525" s="241"/>
      <c r="N525" s="178"/>
      <c r="O525" s="242"/>
      <c r="P525" s="243"/>
    </row>
    <row r="526" spans="2:16" ht="12.75">
      <c r="B526" s="238"/>
      <c r="H526" s="155"/>
      <c r="I526" s="239"/>
      <c r="L526" s="240"/>
      <c r="M526" s="241"/>
      <c r="N526" s="178"/>
      <c r="O526" s="242"/>
      <c r="P526" s="243"/>
    </row>
    <row r="527" spans="2:16" ht="12.75">
      <c r="B527" s="238"/>
      <c r="H527" s="155"/>
      <c r="I527" s="239"/>
      <c r="L527" s="240"/>
      <c r="M527" s="241"/>
      <c r="N527" s="178"/>
      <c r="O527" s="242"/>
      <c r="P527" s="243"/>
    </row>
    <row r="528" spans="2:16" ht="12.75">
      <c r="B528" s="238"/>
      <c r="H528" s="155"/>
      <c r="I528" s="239"/>
      <c r="L528" s="240"/>
      <c r="M528" s="241"/>
      <c r="N528" s="178"/>
      <c r="O528" s="242"/>
      <c r="P528" s="243"/>
    </row>
    <row r="529" spans="2:16" ht="12.75">
      <c r="B529" s="238"/>
      <c r="H529" s="155"/>
      <c r="I529" s="239"/>
      <c r="L529" s="240"/>
      <c r="M529" s="241"/>
      <c r="N529" s="178"/>
      <c r="O529" s="242"/>
      <c r="P529" s="243"/>
    </row>
    <row r="530" spans="2:16" ht="12.75">
      <c r="B530" s="238"/>
      <c r="H530" s="155"/>
      <c r="I530" s="239"/>
      <c r="L530" s="240"/>
      <c r="M530" s="241"/>
      <c r="N530" s="178"/>
      <c r="O530" s="242"/>
      <c r="P530" s="243"/>
    </row>
    <row r="531" spans="2:16" ht="12.75">
      <c r="B531" s="238"/>
      <c r="H531" s="155"/>
      <c r="I531" s="239"/>
      <c r="L531" s="240"/>
      <c r="M531" s="241"/>
      <c r="N531" s="178"/>
      <c r="O531" s="242"/>
      <c r="P531" s="243"/>
    </row>
    <row r="532" spans="2:16" ht="12.75">
      <c r="B532" s="238"/>
      <c r="H532" s="155"/>
      <c r="I532" s="239"/>
      <c r="L532" s="240"/>
      <c r="M532" s="241"/>
      <c r="N532" s="178"/>
      <c r="O532" s="242"/>
      <c r="P532" s="243"/>
    </row>
    <row r="533" spans="2:16" ht="12.75">
      <c r="B533" s="238"/>
      <c r="H533" s="155"/>
      <c r="I533" s="239"/>
      <c r="L533" s="240"/>
      <c r="M533" s="241"/>
      <c r="N533" s="178"/>
      <c r="O533" s="242"/>
      <c r="P533" s="243"/>
    </row>
    <row r="534" spans="2:16" ht="12.75">
      <c r="B534" s="238"/>
      <c r="H534" s="155"/>
      <c r="I534" s="239"/>
      <c r="L534" s="240"/>
      <c r="M534" s="241"/>
      <c r="N534" s="178"/>
      <c r="O534" s="242"/>
      <c r="P534" s="243"/>
    </row>
    <row r="535" spans="2:16" ht="12.75">
      <c r="B535" s="238"/>
      <c r="H535" s="155"/>
      <c r="I535" s="239"/>
      <c r="L535" s="240"/>
      <c r="M535" s="241"/>
      <c r="N535" s="178"/>
      <c r="O535" s="242"/>
      <c r="P535" s="243"/>
    </row>
    <row r="536" spans="2:16" ht="12.75">
      <c r="B536" s="238"/>
      <c r="H536" s="155"/>
      <c r="I536" s="239"/>
      <c r="L536" s="240"/>
      <c r="M536" s="241"/>
      <c r="N536" s="178"/>
      <c r="O536" s="242"/>
      <c r="P536" s="243"/>
    </row>
    <row r="537" spans="2:16" ht="12.75">
      <c r="B537" s="238"/>
      <c r="H537" s="155"/>
      <c r="I537" s="239"/>
      <c r="L537" s="240"/>
      <c r="M537" s="241"/>
      <c r="N537" s="178"/>
      <c r="O537" s="242"/>
      <c r="P537" s="243"/>
    </row>
    <row r="538" spans="2:16" ht="12.75">
      <c r="B538" s="238"/>
      <c r="H538" s="155"/>
      <c r="I538" s="239"/>
      <c r="L538" s="240"/>
      <c r="M538" s="241"/>
      <c r="N538" s="178"/>
      <c r="O538" s="242"/>
      <c r="P538" s="243"/>
    </row>
    <row r="539" spans="2:16" ht="12.75">
      <c r="B539" s="238"/>
      <c r="H539" s="155"/>
      <c r="I539" s="239"/>
      <c r="L539" s="240"/>
      <c r="M539" s="241"/>
      <c r="N539" s="178"/>
      <c r="O539" s="242"/>
      <c r="P539" s="243"/>
    </row>
    <row r="540" spans="2:16" ht="12.75">
      <c r="B540" s="238"/>
      <c r="H540" s="155"/>
      <c r="I540" s="239"/>
      <c r="L540" s="240"/>
      <c r="M540" s="241"/>
      <c r="N540" s="178"/>
      <c r="O540" s="242"/>
      <c r="P540" s="243"/>
    </row>
    <row r="541" spans="2:16" ht="12.75">
      <c r="B541" s="238"/>
      <c r="H541" s="155"/>
      <c r="I541" s="239"/>
      <c r="L541" s="240"/>
      <c r="M541" s="241"/>
      <c r="N541" s="178"/>
      <c r="O541" s="242"/>
      <c r="P541" s="243"/>
    </row>
    <row r="542" spans="2:16" ht="12.75">
      <c r="B542" s="238"/>
      <c r="H542" s="155"/>
      <c r="I542" s="239"/>
      <c r="L542" s="240"/>
      <c r="M542" s="241"/>
      <c r="N542" s="178"/>
      <c r="O542" s="242"/>
      <c r="P542" s="243"/>
    </row>
    <row r="543" spans="2:16" ht="12.75">
      <c r="B543" s="238"/>
      <c r="H543" s="155"/>
      <c r="I543" s="239"/>
      <c r="L543" s="240"/>
      <c r="M543" s="241"/>
      <c r="N543" s="178"/>
      <c r="O543" s="242"/>
      <c r="P543" s="243"/>
    </row>
    <row r="544" spans="2:16" ht="12.75">
      <c r="B544" s="238"/>
      <c r="H544" s="155"/>
      <c r="I544" s="239"/>
      <c r="L544" s="240"/>
      <c r="M544" s="241"/>
      <c r="N544" s="178"/>
      <c r="O544" s="242"/>
      <c r="P544" s="243"/>
    </row>
    <row r="545" spans="2:16" ht="12.75">
      <c r="B545" s="238"/>
      <c r="H545" s="155"/>
      <c r="I545" s="239"/>
      <c r="L545" s="240"/>
      <c r="M545" s="241"/>
      <c r="N545" s="178"/>
      <c r="O545" s="242"/>
      <c r="P545" s="243"/>
    </row>
    <row r="546" spans="2:16" ht="12.75">
      <c r="B546" s="238"/>
      <c r="H546" s="155"/>
      <c r="I546" s="239"/>
      <c r="L546" s="240"/>
      <c r="M546" s="241"/>
      <c r="N546" s="178"/>
      <c r="O546" s="242"/>
      <c r="P546" s="243"/>
    </row>
    <row r="547" spans="2:16" ht="12.75">
      <c r="B547" s="238"/>
      <c r="H547" s="155"/>
      <c r="I547" s="239"/>
      <c r="L547" s="240"/>
      <c r="M547" s="241"/>
      <c r="N547" s="178"/>
      <c r="O547" s="242"/>
      <c r="P547" s="243"/>
    </row>
    <row r="548" spans="2:16" ht="12.75">
      <c r="B548" s="238"/>
      <c r="H548" s="155"/>
      <c r="I548" s="239"/>
      <c r="L548" s="240"/>
      <c r="M548" s="241"/>
      <c r="N548" s="178"/>
      <c r="O548" s="242"/>
      <c r="P548" s="243"/>
    </row>
    <row r="549" spans="2:16" ht="12.75">
      <c r="B549" s="238"/>
      <c r="H549" s="155"/>
      <c r="I549" s="239"/>
      <c r="L549" s="240"/>
      <c r="M549" s="241"/>
      <c r="N549" s="178"/>
      <c r="O549" s="242"/>
      <c r="P549" s="243"/>
    </row>
    <row r="550" spans="2:16" ht="12.75">
      <c r="B550" s="238"/>
      <c r="H550" s="155"/>
      <c r="I550" s="239"/>
      <c r="L550" s="240"/>
      <c r="M550" s="241"/>
      <c r="N550" s="178"/>
      <c r="O550" s="242"/>
      <c r="P550" s="243"/>
    </row>
    <row r="551" spans="2:16" ht="12.75">
      <c r="B551" s="238"/>
      <c r="H551" s="155"/>
      <c r="I551" s="239"/>
      <c r="L551" s="240"/>
      <c r="M551" s="241"/>
      <c r="N551" s="178"/>
      <c r="O551" s="242"/>
      <c r="P551" s="243"/>
    </row>
    <row r="552" spans="2:16" ht="12.75">
      <c r="B552" s="238"/>
      <c r="H552" s="155"/>
      <c r="I552" s="239"/>
      <c r="L552" s="240"/>
      <c r="M552" s="241"/>
      <c r="N552" s="178"/>
      <c r="O552" s="242"/>
      <c r="P552" s="243"/>
    </row>
    <row r="553" spans="2:16" ht="12.75">
      <c r="B553" s="238"/>
      <c r="H553" s="155"/>
      <c r="I553" s="239"/>
      <c r="L553" s="240"/>
      <c r="M553" s="241"/>
      <c r="N553" s="178"/>
      <c r="O553" s="242"/>
      <c r="P553" s="243"/>
    </row>
    <row r="554" spans="2:16" ht="12.75">
      <c r="B554" s="238"/>
      <c r="H554" s="155"/>
      <c r="I554" s="239"/>
      <c r="L554" s="240"/>
      <c r="M554" s="241"/>
      <c r="N554" s="178"/>
      <c r="O554" s="242"/>
      <c r="P554" s="243"/>
    </row>
    <row r="555" spans="2:16" ht="12.75">
      <c r="B555" s="238"/>
      <c r="H555" s="155"/>
      <c r="I555" s="239"/>
      <c r="L555" s="240"/>
      <c r="M555" s="241"/>
      <c r="N555" s="178"/>
      <c r="O555" s="242"/>
      <c r="P555" s="243"/>
    </row>
    <row r="556" spans="2:16" ht="12.75">
      <c r="B556" s="238"/>
      <c r="H556" s="155"/>
      <c r="I556" s="239"/>
      <c r="L556" s="240"/>
      <c r="M556" s="241"/>
      <c r="N556" s="178"/>
      <c r="O556" s="242"/>
      <c r="P556" s="243"/>
    </row>
    <row r="557" spans="2:16" ht="12.75">
      <c r="B557" s="238"/>
      <c r="H557" s="155"/>
      <c r="I557" s="239"/>
      <c r="L557" s="240"/>
      <c r="M557" s="241"/>
      <c r="N557" s="178"/>
      <c r="O557" s="242"/>
      <c r="P557" s="243"/>
    </row>
    <row r="558" spans="2:16" ht="12.75">
      <c r="B558" s="238"/>
      <c r="H558" s="155"/>
      <c r="I558" s="239"/>
      <c r="L558" s="240"/>
      <c r="M558" s="241"/>
      <c r="N558" s="178"/>
      <c r="O558" s="242"/>
      <c r="P558" s="243"/>
    </row>
    <row r="559" spans="2:16" ht="12.75">
      <c r="B559" s="238"/>
      <c r="H559" s="155"/>
      <c r="I559" s="239"/>
      <c r="L559" s="240"/>
      <c r="M559" s="241"/>
      <c r="N559" s="178"/>
      <c r="O559" s="242"/>
      <c r="P559" s="243"/>
    </row>
    <row r="560" spans="2:16" ht="12.75">
      <c r="B560" s="238"/>
      <c r="H560" s="155"/>
      <c r="I560" s="239"/>
      <c r="L560" s="240"/>
      <c r="M560" s="241"/>
      <c r="N560" s="178"/>
      <c r="O560" s="242"/>
      <c r="P560" s="243"/>
    </row>
    <row r="561" spans="2:16" ht="12.75">
      <c r="B561" s="238"/>
      <c r="H561" s="155"/>
      <c r="I561" s="239"/>
      <c r="L561" s="240"/>
      <c r="M561" s="241"/>
      <c r="N561" s="178"/>
      <c r="O561" s="242"/>
      <c r="P561" s="243"/>
    </row>
    <row r="562" spans="2:16" ht="12.75">
      <c r="B562" s="238"/>
      <c r="H562" s="155"/>
      <c r="I562" s="239"/>
      <c r="L562" s="240"/>
      <c r="M562" s="241"/>
      <c r="N562" s="178"/>
      <c r="O562" s="242"/>
      <c r="P562" s="243"/>
    </row>
    <row r="563" spans="2:16" ht="12.75">
      <c r="B563" s="238"/>
      <c r="H563" s="155"/>
      <c r="I563" s="239"/>
      <c r="L563" s="240"/>
      <c r="M563" s="241"/>
      <c r="N563" s="178"/>
      <c r="O563" s="242"/>
      <c r="P563" s="243"/>
    </row>
    <row r="564" spans="2:16" ht="12.75">
      <c r="B564" s="238"/>
      <c r="H564" s="155"/>
      <c r="I564" s="239"/>
      <c r="L564" s="240"/>
      <c r="M564" s="241"/>
      <c r="N564" s="178"/>
      <c r="O564" s="242"/>
      <c r="P564" s="243"/>
    </row>
    <row r="565" spans="2:16" ht="12.75">
      <c r="B565" s="238"/>
      <c r="H565" s="155"/>
      <c r="I565" s="239"/>
      <c r="L565" s="240"/>
      <c r="M565" s="241"/>
      <c r="N565" s="178"/>
      <c r="O565" s="242"/>
      <c r="P565" s="243"/>
    </row>
    <row r="566" spans="2:16" ht="12.75">
      <c r="B566" s="238"/>
      <c r="H566" s="155"/>
      <c r="I566" s="239"/>
      <c r="L566" s="240"/>
      <c r="M566" s="241"/>
      <c r="N566" s="178"/>
      <c r="O566" s="242"/>
      <c r="P566" s="243"/>
    </row>
    <row r="567" spans="2:16" ht="12.75">
      <c r="B567" s="238"/>
      <c r="H567" s="155"/>
      <c r="I567" s="239"/>
      <c r="L567" s="240"/>
      <c r="M567" s="241"/>
      <c r="N567" s="178"/>
      <c r="O567" s="242"/>
      <c r="P567" s="243"/>
    </row>
    <row r="568" spans="2:16" ht="12.75">
      <c r="B568" s="238"/>
      <c r="H568" s="155"/>
      <c r="I568" s="239"/>
      <c r="L568" s="240"/>
      <c r="M568" s="241"/>
      <c r="N568" s="178"/>
      <c r="O568" s="242"/>
      <c r="P568" s="243"/>
    </row>
    <row r="569" spans="2:16" ht="12.75">
      <c r="B569" s="238"/>
      <c r="H569" s="155"/>
      <c r="I569" s="239"/>
      <c r="L569" s="240"/>
      <c r="M569" s="241"/>
      <c r="N569" s="178"/>
      <c r="O569" s="242"/>
      <c r="P569" s="243"/>
    </row>
    <row r="570" spans="2:16" ht="12.75">
      <c r="B570" s="238"/>
      <c r="H570" s="155"/>
      <c r="I570" s="239"/>
      <c r="L570" s="240"/>
      <c r="M570" s="241"/>
      <c r="N570" s="178"/>
      <c r="O570" s="242"/>
      <c r="P570" s="243"/>
    </row>
    <row r="571" spans="2:16" ht="12.75">
      <c r="B571" s="238"/>
      <c r="H571" s="155"/>
      <c r="I571" s="239"/>
      <c r="L571" s="240"/>
      <c r="M571" s="241"/>
      <c r="N571" s="178"/>
      <c r="O571" s="242"/>
      <c r="P571" s="243"/>
    </row>
    <row r="572" spans="2:16" ht="12.75">
      <c r="B572" s="238"/>
      <c r="H572" s="155"/>
      <c r="I572" s="239"/>
      <c r="L572" s="240"/>
      <c r="M572" s="241"/>
      <c r="N572" s="178"/>
      <c r="O572" s="242"/>
      <c r="P572" s="243"/>
    </row>
    <row r="573" spans="2:16" ht="12.75">
      <c r="B573" s="238"/>
      <c r="H573" s="155"/>
      <c r="I573" s="239"/>
      <c r="L573" s="240"/>
      <c r="M573" s="241"/>
      <c r="N573" s="178"/>
      <c r="O573" s="242"/>
      <c r="P573" s="243"/>
    </row>
    <row r="574" spans="2:16" ht="12.75">
      <c r="B574" s="238"/>
      <c r="H574" s="155"/>
      <c r="I574" s="239"/>
      <c r="L574" s="240"/>
      <c r="M574" s="241"/>
      <c r="N574" s="178"/>
      <c r="O574" s="242"/>
      <c r="P574" s="243"/>
    </row>
    <row r="575" spans="2:16" ht="12.75">
      <c r="B575" s="238"/>
      <c r="H575" s="155"/>
      <c r="I575" s="239"/>
      <c r="L575" s="240"/>
      <c r="M575" s="241"/>
      <c r="N575" s="178"/>
      <c r="O575" s="242"/>
      <c r="P575" s="243"/>
    </row>
    <row r="576" spans="2:16" ht="12.75">
      <c r="B576" s="238"/>
      <c r="H576" s="155"/>
      <c r="I576" s="239"/>
      <c r="L576" s="240"/>
      <c r="M576" s="241"/>
      <c r="N576" s="178"/>
      <c r="O576" s="242"/>
      <c r="P576" s="243"/>
    </row>
    <row r="577" spans="2:16" ht="12.75">
      <c r="B577" s="238"/>
      <c r="H577" s="155"/>
      <c r="I577" s="239"/>
      <c r="L577" s="240"/>
      <c r="M577" s="241"/>
      <c r="N577" s="178"/>
      <c r="O577" s="242"/>
      <c r="P577" s="243"/>
    </row>
    <row r="578" spans="2:16" ht="12.75">
      <c r="B578" s="238"/>
      <c r="H578" s="155"/>
      <c r="I578" s="239"/>
      <c r="L578" s="240"/>
      <c r="M578" s="241"/>
      <c r="N578" s="178"/>
      <c r="O578" s="242"/>
      <c r="P578" s="243"/>
    </row>
    <row r="579" spans="2:16" ht="12.75">
      <c r="B579" s="238"/>
      <c r="H579" s="155"/>
      <c r="I579" s="239"/>
      <c r="L579" s="240"/>
      <c r="M579" s="241"/>
      <c r="N579" s="178"/>
      <c r="O579" s="242"/>
      <c r="P579" s="243"/>
    </row>
    <row r="580" spans="2:16" ht="12.75">
      <c r="B580" s="238"/>
      <c r="H580" s="155"/>
      <c r="I580" s="239"/>
      <c r="L580" s="240"/>
      <c r="M580" s="241"/>
      <c r="N580" s="178"/>
      <c r="O580" s="242"/>
      <c r="P580" s="243"/>
    </row>
    <row r="581" spans="2:16" ht="12.75">
      <c r="B581" s="238"/>
      <c r="H581" s="155"/>
      <c r="I581" s="239"/>
      <c r="L581" s="240"/>
      <c r="M581" s="241"/>
      <c r="N581" s="178"/>
      <c r="O581" s="242"/>
      <c r="P581" s="243"/>
    </row>
    <row r="582" spans="2:16" ht="12.75">
      <c r="B582" s="238"/>
      <c r="H582" s="155"/>
      <c r="I582" s="239"/>
      <c r="L582" s="240"/>
      <c r="M582" s="241"/>
      <c r="N582" s="178"/>
      <c r="O582" s="242"/>
      <c r="P582" s="243"/>
    </row>
    <row r="583" spans="2:16" ht="12.75">
      <c r="B583" s="238"/>
      <c r="H583" s="155"/>
      <c r="I583" s="239"/>
      <c r="L583" s="240"/>
      <c r="M583" s="241"/>
      <c r="N583" s="178"/>
      <c r="O583" s="242"/>
      <c r="P583" s="243"/>
    </row>
    <row r="584" spans="2:16" ht="12.75">
      <c r="B584" s="238"/>
      <c r="H584" s="155"/>
      <c r="I584" s="239"/>
      <c r="L584" s="240"/>
      <c r="M584" s="241"/>
      <c r="N584" s="178"/>
      <c r="O584" s="242"/>
      <c r="P584" s="243"/>
    </row>
    <row r="585" spans="2:16" ht="12.75">
      <c r="B585" s="238"/>
      <c r="H585" s="155"/>
      <c r="I585" s="239"/>
      <c r="L585" s="240"/>
      <c r="M585" s="241"/>
      <c r="N585" s="178"/>
      <c r="O585" s="242"/>
      <c r="P585" s="243"/>
    </row>
    <row r="586" spans="2:16" ht="12.75">
      <c r="B586" s="238"/>
      <c r="H586" s="155"/>
      <c r="I586" s="239"/>
      <c r="L586" s="240"/>
      <c r="M586" s="241"/>
      <c r="N586" s="178"/>
      <c r="O586" s="242"/>
      <c r="P586" s="243"/>
    </row>
    <row r="587" spans="2:16" ht="12.75">
      <c r="B587" s="238"/>
      <c r="H587" s="155"/>
      <c r="I587" s="239"/>
      <c r="L587" s="240"/>
      <c r="M587" s="241"/>
      <c r="N587" s="178"/>
      <c r="O587" s="242"/>
      <c r="P587" s="243"/>
    </row>
    <row r="588" spans="2:16" ht="12.75">
      <c r="B588" s="238"/>
      <c r="H588" s="155"/>
      <c r="I588" s="239"/>
      <c r="L588" s="240"/>
      <c r="M588" s="241"/>
      <c r="N588" s="178"/>
      <c r="O588" s="242"/>
      <c r="P588" s="243"/>
    </row>
    <row r="589" spans="2:16" ht="12.75">
      <c r="B589" s="238"/>
      <c r="H589" s="155"/>
      <c r="I589" s="239"/>
      <c r="L589" s="240"/>
      <c r="M589" s="241"/>
      <c r="N589" s="178"/>
      <c r="O589" s="242"/>
      <c r="P589" s="243"/>
    </row>
    <row r="590" spans="2:16" ht="12.75">
      <c r="B590" s="238"/>
      <c r="H590" s="155"/>
      <c r="I590" s="239"/>
      <c r="L590" s="240"/>
      <c r="M590" s="241"/>
      <c r="N590" s="178"/>
      <c r="O590" s="242"/>
      <c r="P590" s="243"/>
    </row>
    <row r="591" spans="2:16" ht="12.75">
      <c r="B591" s="238"/>
      <c r="H591" s="155"/>
      <c r="I591" s="239"/>
      <c r="L591" s="240"/>
      <c r="M591" s="241"/>
      <c r="N591" s="178"/>
      <c r="O591" s="242"/>
      <c r="P591" s="243"/>
    </row>
    <row r="592" spans="2:16" ht="12.75">
      <c r="B592" s="238"/>
      <c r="H592" s="155"/>
      <c r="I592" s="239"/>
      <c r="L592" s="240"/>
      <c r="M592" s="241"/>
      <c r="N592" s="178"/>
      <c r="O592" s="242"/>
      <c r="P592" s="243"/>
    </row>
    <row r="593" spans="2:16" ht="12.75">
      <c r="B593" s="238"/>
      <c r="H593" s="155"/>
      <c r="I593" s="239"/>
      <c r="L593" s="240"/>
      <c r="M593" s="241"/>
      <c r="N593" s="178"/>
      <c r="O593" s="242"/>
      <c r="P593" s="243"/>
    </row>
    <row r="594" spans="2:16" ht="12.75">
      <c r="B594" s="238"/>
      <c r="H594" s="155"/>
      <c r="I594" s="239"/>
      <c r="L594" s="240"/>
      <c r="M594" s="241"/>
      <c r="N594" s="178"/>
      <c r="O594" s="242"/>
      <c r="P594" s="243"/>
    </row>
    <row r="595" spans="2:16" ht="12.75">
      <c r="B595" s="238"/>
      <c r="H595" s="155"/>
      <c r="I595" s="239"/>
      <c r="L595" s="240"/>
      <c r="M595" s="241"/>
      <c r="N595" s="178"/>
      <c r="O595" s="242"/>
      <c r="P595" s="243"/>
    </row>
    <row r="596" spans="2:16" ht="12.75">
      <c r="B596" s="238"/>
      <c r="H596" s="155"/>
      <c r="I596" s="239"/>
      <c r="L596" s="240"/>
      <c r="M596" s="241"/>
      <c r="N596" s="178"/>
      <c r="O596" s="242"/>
      <c r="P596" s="243"/>
    </row>
    <row r="597" spans="2:16" ht="12.75">
      <c r="B597" s="238"/>
      <c r="H597" s="155"/>
      <c r="I597" s="239"/>
      <c r="L597" s="240"/>
      <c r="M597" s="241"/>
      <c r="N597" s="178"/>
      <c r="O597" s="242"/>
      <c r="P597" s="243"/>
    </row>
    <row r="598" spans="2:16" ht="12.75">
      <c r="B598" s="238"/>
      <c r="H598" s="155"/>
      <c r="I598" s="239"/>
      <c r="L598" s="240"/>
      <c r="M598" s="241"/>
      <c r="N598" s="178"/>
      <c r="O598" s="242"/>
      <c r="P598" s="243"/>
    </row>
    <row r="599" spans="2:16" ht="12.75">
      <c r="B599" s="238"/>
      <c r="H599" s="155"/>
      <c r="I599" s="239"/>
      <c r="L599" s="240"/>
      <c r="M599" s="241"/>
      <c r="N599" s="178"/>
      <c r="O599" s="242"/>
      <c r="P599" s="243"/>
    </row>
    <row r="600" spans="2:16" ht="12.75">
      <c r="B600" s="238"/>
      <c r="H600" s="155"/>
      <c r="I600" s="239"/>
      <c r="L600" s="240"/>
      <c r="M600" s="241"/>
      <c r="N600" s="178"/>
      <c r="O600" s="242"/>
      <c r="P600" s="243"/>
    </row>
    <row r="601" spans="2:16" ht="12.75">
      <c r="B601" s="238"/>
      <c r="H601" s="155"/>
      <c r="I601" s="239"/>
      <c r="L601" s="240"/>
      <c r="M601" s="241"/>
      <c r="N601" s="178"/>
      <c r="O601" s="242"/>
      <c r="P601" s="243"/>
    </row>
    <row r="602" spans="2:16" ht="12.75">
      <c r="B602" s="238"/>
      <c r="H602" s="155"/>
      <c r="I602" s="239"/>
      <c r="L602" s="240"/>
      <c r="M602" s="241"/>
      <c r="N602" s="178"/>
      <c r="O602" s="242"/>
      <c r="P602" s="243"/>
    </row>
    <row r="603" spans="2:16" ht="12.75">
      <c r="B603" s="238"/>
      <c r="H603" s="155"/>
      <c r="I603" s="239"/>
      <c r="L603" s="240"/>
      <c r="M603" s="241"/>
      <c r="N603" s="178"/>
      <c r="O603" s="242"/>
      <c r="P603" s="243"/>
    </row>
    <row r="604" spans="2:16" ht="12.75">
      <c r="B604" s="238"/>
      <c r="H604" s="155"/>
      <c r="I604" s="239"/>
      <c r="L604" s="240"/>
      <c r="M604" s="241"/>
      <c r="N604" s="178"/>
      <c r="O604" s="242"/>
      <c r="P604" s="243"/>
    </row>
    <row r="605" spans="2:16" ht="12.75">
      <c r="B605" s="238"/>
      <c r="H605" s="155"/>
      <c r="I605" s="239"/>
      <c r="L605" s="240"/>
      <c r="M605" s="241"/>
      <c r="N605" s="178"/>
      <c r="O605" s="242"/>
      <c r="P605" s="243"/>
    </row>
    <row r="606" spans="2:16" ht="12.75">
      <c r="B606" s="238"/>
      <c r="H606" s="155"/>
      <c r="I606" s="239"/>
      <c r="L606" s="240"/>
      <c r="M606" s="241"/>
      <c r="N606" s="178"/>
      <c r="O606" s="242"/>
      <c r="P606" s="243"/>
    </row>
    <row r="607" spans="2:16" ht="12.75">
      <c r="B607" s="238"/>
      <c r="H607" s="155"/>
      <c r="I607" s="239"/>
      <c r="L607" s="240"/>
      <c r="M607" s="241"/>
      <c r="N607" s="178"/>
      <c r="O607" s="242"/>
      <c r="P607" s="243"/>
    </row>
    <row r="608" spans="2:16" ht="12.75">
      <c r="B608" s="238"/>
      <c r="H608" s="155"/>
      <c r="I608" s="239"/>
      <c r="L608" s="240"/>
      <c r="M608" s="241"/>
      <c r="N608" s="178"/>
      <c r="O608" s="242"/>
      <c r="P608" s="243"/>
    </row>
    <row r="609" spans="2:16" ht="12.75">
      <c r="B609" s="238"/>
      <c r="H609" s="155"/>
      <c r="I609" s="239"/>
      <c r="L609" s="240"/>
      <c r="M609" s="241"/>
      <c r="N609" s="178"/>
      <c r="O609" s="242"/>
      <c r="P609" s="243"/>
    </row>
    <row r="610" spans="2:16" ht="12.75">
      <c r="B610" s="238"/>
      <c r="H610" s="155"/>
      <c r="I610" s="239"/>
      <c r="L610" s="240"/>
      <c r="M610" s="241"/>
      <c r="N610" s="178"/>
      <c r="O610" s="242"/>
      <c r="P610" s="243"/>
    </row>
    <row r="611" spans="2:16" ht="12.75">
      <c r="B611" s="238"/>
      <c r="H611" s="155"/>
      <c r="I611" s="239"/>
      <c r="L611" s="240"/>
      <c r="M611" s="241"/>
      <c r="N611" s="178"/>
      <c r="O611" s="242"/>
      <c r="P611" s="243"/>
    </row>
    <row r="612" spans="2:16" ht="12.75">
      <c r="B612" s="238"/>
      <c r="H612" s="155"/>
      <c r="I612" s="239"/>
      <c r="L612" s="240"/>
      <c r="M612" s="241"/>
      <c r="N612" s="178"/>
      <c r="O612" s="242"/>
      <c r="P612" s="243"/>
    </row>
    <row r="613" spans="2:16" ht="12.75">
      <c r="B613" s="238"/>
      <c r="H613" s="155"/>
      <c r="I613" s="239"/>
      <c r="L613" s="240"/>
      <c r="M613" s="241"/>
      <c r="N613" s="178"/>
      <c r="O613" s="242"/>
      <c r="P613" s="243"/>
    </row>
    <row r="614" spans="2:16" ht="12.75">
      <c r="B614" s="238"/>
      <c r="H614" s="155"/>
      <c r="I614" s="239"/>
      <c r="L614" s="240"/>
      <c r="M614" s="241"/>
      <c r="N614" s="178"/>
      <c r="O614" s="242"/>
      <c r="P614" s="243"/>
    </row>
    <row r="615" spans="2:16" ht="12.75">
      <c r="B615" s="238"/>
      <c r="H615" s="155"/>
      <c r="I615" s="239"/>
      <c r="L615" s="240"/>
      <c r="M615" s="241"/>
      <c r="N615" s="178"/>
      <c r="O615" s="242"/>
      <c r="P615" s="243"/>
    </row>
    <row r="616" spans="2:16" ht="12.75">
      <c r="B616" s="238"/>
      <c r="H616" s="155"/>
      <c r="I616" s="239"/>
      <c r="L616" s="240"/>
      <c r="M616" s="241"/>
      <c r="N616" s="178"/>
      <c r="O616" s="242"/>
      <c r="P616" s="243"/>
    </row>
    <row r="617" spans="2:16" ht="12.75">
      <c r="B617" s="238"/>
      <c r="H617" s="155"/>
      <c r="I617" s="239"/>
      <c r="L617" s="240"/>
      <c r="M617" s="241"/>
      <c r="N617" s="178"/>
      <c r="O617" s="242"/>
      <c r="P617" s="243"/>
    </row>
    <row r="618" spans="2:16" ht="12.75">
      <c r="B618" s="238"/>
      <c r="H618" s="155"/>
      <c r="I618" s="239"/>
      <c r="L618" s="240"/>
      <c r="M618" s="241"/>
      <c r="N618" s="178"/>
      <c r="O618" s="242"/>
      <c r="P618" s="243"/>
    </row>
    <row r="619" spans="2:16" ht="12.75">
      <c r="B619" s="238"/>
      <c r="H619" s="155"/>
      <c r="I619" s="239"/>
      <c r="L619" s="240"/>
      <c r="M619" s="241"/>
      <c r="N619" s="178"/>
      <c r="O619" s="242"/>
      <c r="P619" s="243"/>
    </row>
    <row r="620" spans="2:16" ht="12.75">
      <c r="B620" s="238"/>
      <c r="H620" s="155"/>
      <c r="I620" s="239"/>
      <c r="L620" s="240"/>
      <c r="M620" s="241"/>
      <c r="N620" s="178"/>
      <c r="O620" s="242"/>
      <c r="P620" s="243"/>
    </row>
    <row r="621" spans="2:16" ht="12.75">
      <c r="B621" s="238"/>
      <c r="H621" s="155"/>
      <c r="I621" s="239"/>
      <c r="L621" s="240"/>
      <c r="M621" s="241"/>
      <c r="N621" s="178"/>
      <c r="O621" s="242"/>
      <c r="P621" s="243"/>
    </row>
    <row r="622" spans="2:16" ht="12.75">
      <c r="B622" s="238"/>
      <c r="H622" s="155"/>
      <c r="I622" s="239"/>
      <c r="L622" s="240"/>
      <c r="M622" s="241"/>
      <c r="N622" s="178"/>
      <c r="O622" s="242"/>
      <c r="P622" s="243"/>
    </row>
    <row r="623" spans="2:16" ht="12.75">
      <c r="B623" s="238"/>
      <c r="H623" s="155"/>
      <c r="I623" s="239"/>
      <c r="L623" s="240"/>
      <c r="M623" s="241"/>
      <c r="N623" s="178"/>
      <c r="O623" s="242"/>
      <c r="P623" s="243"/>
    </row>
    <row r="624" spans="2:16" ht="12.75">
      <c r="B624" s="238"/>
      <c r="H624" s="155"/>
      <c r="I624" s="239"/>
      <c r="L624" s="240"/>
      <c r="M624" s="241"/>
      <c r="N624" s="178"/>
      <c r="O624" s="242"/>
      <c r="P624" s="243"/>
    </row>
    <row r="625" spans="2:16" ht="12.75">
      <c r="B625" s="238"/>
      <c r="H625" s="155"/>
      <c r="I625" s="239"/>
      <c r="L625" s="240"/>
      <c r="M625" s="241"/>
      <c r="N625" s="178"/>
      <c r="O625" s="242"/>
      <c r="P625" s="243"/>
    </row>
    <row r="626" spans="2:16" ht="12.75">
      <c r="B626" s="238"/>
      <c r="H626" s="155"/>
      <c r="I626" s="239"/>
      <c r="L626" s="240"/>
      <c r="M626" s="241"/>
      <c r="N626" s="178"/>
      <c r="O626" s="242"/>
      <c r="P626" s="243"/>
    </row>
    <row r="627" spans="2:16" ht="12.75">
      <c r="B627" s="238"/>
      <c r="H627" s="155"/>
      <c r="I627" s="239"/>
      <c r="L627" s="240"/>
      <c r="M627" s="241"/>
      <c r="N627" s="178"/>
      <c r="O627" s="242"/>
      <c r="P627" s="243"/>
    </row>
    <row r="628" spans="2:16" ht="12.75">
      <c r="B628" s="238"/>
      <c r="H628" s="155"/>
      <c r="I628" s="239"/>
      <c r="L628" s="240"/>
      <c r="M628" s="241"/>
      <c r="N628" s="178"/>
      <c r="O628" s="242"/>
      <c r="P628" s="243"/>
    </row>
    <row r="629" spans="2:16" ht="12.75">
      <c r="B629" s="238"/>
      <c r="H629" s="155"/>
      <c r="I629" s="239"/>
      <c r="L629" s="240"/>
      <c r="M629" s="241"/>
      <c r="N629" s="178"/>
      <c r="O629" s="242"/>
      <c r="P629" s="243"/>
    </row>
    <row r="630" spans="2:16" ht="12.75">
      <c r="B630" s="238"/>
      <c r="H630" s="155"/>
      <c r="I630" s="239"/>
      <c r="L630" s="240"/>
      <c r="M630" s="241"/>
      <c r="N630" s="178"/>
      <c r="O630" s="242"/>
      <c r="P630" s="243"/>
    </row>
    <row r="631" spans="2:16" ht="12.75">
      <c r="B631" s="238"/>
      <c r="H631" s="155"/>
      <c r="I631" s="239"/>
      <c r="L631" s="240"/>
      <c r="M631" s="241"/>
      <c r="N631" s="178"/>
      <c r="O631" s="242"/>
      <c r="P631" s="243"/>
    </row>
    <row r="632" spans="2:16" ht="12.75">
      <c r="B632" s="238"/>
      <c r="H632" s="155"/>
      <c r="I632" s="239"/>
      <c r="L632" s="240"/>
      <c r="M632" s="241"/>
      <c r="N632" s="178"/>
      <c r="O632" s="242"/>
      <c r="P632" s="243"/>
    </row>
    <row r="633" spans="2:16" ht="12.75">
      <c r="B633" s="238"/>
      <c r="H633" s="155"/>
      <c r="I633" s="239"/>
      <c r="L633" s="240"/>
      <c r="M633" s="241"/>
      <c r="N633" s="178"/>
      <c r="O633" s="242"/>
      <c r="P633" s="243"/>
    </row>
    <row r="634" spans="2:16" ht="12.75">
      <c r="B634" s="238"/>
      <c r="H634" s="155"/>
      <c r="I634" s="239"/>
      <c r="L634" s="240"/>
      <c r="M634" s="241"/>
      <c r="N634" s="178"/>
      <c r="O634" s="242"/>
      <c r="P634" s="243"/>
    </row>
    <row r="635" spans="2:16" ht="12.75">
      <c r="B635" s="238"/>
      <c r="H635" s="155"/>
      <c r="I635" s="239"/>
      <c r="L635" s="240"/>
      <c r="M635" s="241"/>
      <c r="N635" s="178"/>
      <c r="O635" s="242"/>
      <c r="P635" s="243"/>
    </row>
    <row r="636" spans="2:16" ht="12.75">
      <c r="B636" s="238"/>
      <c r="H636" s="155"/>
      <c r="I636" s="239"/>
      <c r="L636" s="240"/>
      <c r="M636" s="241"/>
      <c r="N636" s="178"/>
      <c r="O636" s="242"/>
      <c r="P636" s="243"/>
    </row>
    <row r="637" spans="2:16" ht="12.75">
      <c r="B637" s="238"/>
      <c r="H637" s="155"/>
      <c r="I637" s="239"/>
      <c r="L637" s="240"/>
      <c r="M637" s="241"/>
      <c r="N637" s="178"/>
      <c r="O637" s="242"/>
      <c r="P637" s="243"/>
    </row>
    <row r="638" spans="2:16" ht="12.75">
      <c r="B638" s="238"/>
      <c r="H638" s="155"/>
      <c r="I638" s="239"/>
      <c r="L638" s="240"/>
      <c r="M638" s="241"/>
      <c r="N638" s="178"/>
      <c r="O638" s="242"/>
      <c r="P638" s="243"/>
    </row>
    <row r="639" spans="2:16" ht="12.75">
      <c r="B639" s="238"/>
      <c r="H639" s="155"/>
      <c r="I639" s="239"/>
      <c r="L639" s="240"/>
      <c r="M639" s="241"/>
      <c r="N639" s="178"/>
      <c r="O639" s="242"/>
      <c r="P639" s="243"/>
    </row>
    <row r="640" spans="2:16" ht="12.75">
      <c r="B640" s="238"/>
      <c r="H640" s="155"/>
      <c r="I640" s="239"/>
      <c r="L640" s="240"/>
      <c r="M640" s="241"/>
      <c r="N640" s="178"/>
      <c r="O640" s="242"/>
      <c r="P640" s="243"/>
    </row>
    <row r="641" spans="2:16" ht="12.75">
      <c r="B641" s="238"/>
      <c r="H641" s="155"/>
      <c r="I641" s="239"/>
      <c r="L641" s="240"/>
      <c r="M641" s="241"/>
      <c r="N641" s="178"/>
      <c r="O641" s="242"/>
      <c r="P641" s="243"/>
    </row>
    <row r="642" spans="2:16" ht="12.75">
      <c r="B642" s="238"/>
      <c r="H642" s="155"/>
      <c r="I642" s="239"/>
      <c r="L642" s="240"/>
      <c r="M642" s="241"/>
      <c r="N642" s="178"/>
      <c r="O642" s="242"/>
      <c r="P642" s="243"/>
    </row>
    <row r="643" spans="2:16" ht="12.75">
      <c r="B643" s="238"/>
      <c r="H643" s="155"/>
      <c r="I643" s="239"/>
      <c r="L643" s="240"/>
      <c r="M643" s="241"/>
      <c r="N643" s="178"/>
      <c r="O643" s="242"/>
      <c r="P643" s="243"/>
    </row>
    <row r="644" spans="2:16" ht="12.75">
      <c r="B644" s="238"/>
      <c r="H644" s="155"/>
      <c r="I644" s="239"/>
      <c r="L644" s="240"/>
      <c r="M644" s="241"/>
      <c r="N644" s="178"/>
      <c r="O644" s="242"/>
      <c r="P644" s="243"/>
    </row>
    <row r="645" spans="2:16" ht="12.75">
      <c r="B645" s="238"/>
      <c r="H645" s="155"/>
      <c r="I645" s="239"/>
      <c r="L645" s="240"/>
      <c r="M645" s="241"/>
      <c r="N645" s="178"/>
      <c r="O645" s="242"/>
      <c r="P645" s="243"/>
    </row>
    <row r="646" spans="2:16" ht="12.75">
      <c r="B646" s="238"/>
      <c r="H646" s="155"/>
      <c r="I646" s="239"/>
      <c r="L646" s="240"/>
      <c r="M646" s="241"/>
      <c r="N646" s="178"/>
      <c r="O646" s="242"/>
      <c r="P646" s="243"/>
    </row>
    <row r="647" spans="2:16" ht="12.75">
      <c r="B647" s="238"/>
      <c r="H647" s="155"/>
      <c r="I647" s="239"/>
      <c r="L647" s="240"/>
      <c r="M647" s="241"/>
      <c r="N647" s="178"/>
      <c r="O647" s="242"/>
      <c r="P647" s="243"/>
    </row>
    <row r="648" spans="2:16" ht="12.75">
      <c r="B648" s="238"/>
      <c r="H648" s="155"/>
      <c r="I648" s="239"/>
      <c r="L648" s="240"/>
      <c r="M648" s="241"/>
      <c r="N648" s="178"/>
      <c r="O648" s="242"/>
      <c r="P648" s="243"/>
    </row>
    <row r="649" spans="2:16" ht="12.75">
      <c r="B649" s="238"/>
      <c r="H649" s="155"/>
      <c r="I649" s="239"/>
      <c r="L649" s="240"/>
      <c r="M649" s="241"/>
      <c r="N649" s="178"/>
      <c r="O649" s="242"/>
      <c r="P649" s="243"/>
    </row>
    <row r="650" spans="2:16" ht="12.75">
      <c r="B650" s="238"/>
      <c r="H650" s="155"/>
      <c r="I650" s="239"/>
      <c r="L650" s="240"/>
      <c r="M650" s="241"/>
      <c r="N650" s="178"/>
      <c r="O650" s="242"/>
      <c r="P650" s="243"/>
    </row>
    <row r="651" spans="2:16" ht="12.75">
      <c r="B651" s="238"/>
      <c r="H651" s="155"/>
      <c r="I651" s="239"/>
      <c r="L651" s="240"/>
      <c r="M651" s="241"/>
      <c r="N651" s="178"/>
      <c r="O651" s="242"/>
      <c r="P651" s="243"/>
    </row>
    <row r="652" spans="2:16" ht="12.75">
      <c r="B652" s="238"/>
      <c r="H652" s="155"/>
      <c r="I652" s="239"/>
      <c r="L652" s="240"/>
      <c r="M652" s="241"/>
      <c r="N652" s="178"/>
      <c r="O652" s="242"/>
      <c r="P652" s="243"/>
    </row>
    <row r="653" spans="2:16" ht="12.75">
      <c r="B653" s="238"/>
      <c r="H653" s="155"/>
      <c r="I653" s="239"/>
      <c r="L653" s="240"/>
      <c r="M653" s="241"/>
      <c r="N653" s="178"/>
      <c r="O653" s="242"/>
      <c r="P653" s="243"/>
    </row>
    <row r="654" spans="2:16" ht="12.75">
      <c r="B654" s="238"/>
      <c r="H654" s="155"/>
      <c r="I654" s="239"/>
      <c r="L654" s="240"/>
      <c r="M654" s="241"/>
      <c r="N654" s="178"/>
      <c r="O654" s="242"/>
      <c r="P654" s="243"/>
    </row>
    <row r="655" spans="2:16" ht="12.75">
      <c r="B655" s="238"/>
      <c r="H655" s="155"/>
      <c r="I655" s="239"/>
      <c r="L655" s="240"/>
      <c r="M655" s="241"/>
      <c r="N655" s="178"/>
      <c r="O655" s="242"/>
      <c r="P655" s="243"/>
    </row>
    <row r="656" spans="2:16" ht="12.75">
      <c r="B656" s="238"/>
      <c r="H656" s="155"/>
      <c r="I656" s="239"/>
      <c r="L656" s="240"/>
      <c r="M656" s="241"/>
      <c r="N656" s="178"/>
      <c r="O656" s="242"/>
      <c r="P656" s="243"/>
    </row>
    <row r="657" spans="2:16" ht="12.75">
      <c r="B657" s="238"/>
      <c r="H657" s="155"/>
      <c r="I657" s="239"/>
      <c r="L657" s="240"/>
      <c r="M657" s="241"/>
      <c r="N657" s="178"/>
      <c r="O657" s="242"/>
      <c r="P657" s="243"/>
    </row>
    <row r="658" spans="2:16" ht="12.75">
      <c r="B658" s="238"/>
      <c r="H658" s="155"/>
      <c r="I658" s="239"/>
      <c r="L658" s="240"/>
      <c r="M658" s="241"/>
      <c r="N658" s="178"/>
      <c r="O658" s="242"/>
      <c r="P658" s="243"/>
    </row>
    <row r="659" spans="2:16" ht="12.75">
      <c r="B659" s="238"/>
      <c r="H659" s="155"/>
      <c r="I659" s="239"/>
      <c r="L659" s="240"/>
      <c r="M659" s="241"/>
      <c r="N659" s="178"/>
      <c r="O659" s="242"/>
      <c r="P659" s="243"/>
    </row>
    <row r="660" spans="2:16" ht="12.75">
      <c r="B660" s="238"/>
      <c r="H660" s="155"/>
      <c r="I660" s="239"/>
      <c r="L660" s="240"/>
      <c r="M660" s="241"/>
      <c r="N660" s="178"/>
      <c r="O660" s="242"/>
      <c r="P660" s="243"/>
    </row>
    <row r="661" spans="2:16" ht="12.75">
      <c r="B661" s="238"/>
      <c r="H661" s="155"/>
      <c r="I661" s="239"/>
      <c r="L661" s="240"/>
      <c r="M661" s="241"/>
      <c r="N661" s="178"/>
      <c r="O661" s="242"/>
      <c r="P661" s="243"/>
    </row>
    <row r="662" spans="2:16" ht="12.75">
      <c r="B662" s="238"/>
      <c r="H662" s="155"/>
      <c r="I662" s="239"/>
      <c r="L662" s="240"/>
      <c r="M662" s="241"/>
      <c r="N662" s="178"/>
      <c r="O662" s="242"/>
      <c r="P662" s="243"/>
    </row>
    <row r="663" spans="2:16" ht="12.75">
      <c r="B663" s="238"/>
      <c r="H663" s="155"/>
      <c r="I663" s="239"/>
      <c r="L663" s="240"/>
      <c r="M663" s="241"/>
      <c r="N663" s="178"/>
      <c r="O663" s="242"/>
      <c r="P663" s="243"/>
    </row>
    <row r="664" spans="2:16" ht="12.75">
      <c r="B664" s="238"/>
      <c r="H664" s="155"/>
      <c r="I664" s="239"/>
      <c r="L664" s="240"/>
      <c r="M664" s="241"/>
      <c r="N664" s="178"/>
      <c r="O664" s="242"/>
      <c r="P664" s="243"/>
    </row>
    <row r="665" spans="2:16" ht="12.75">
      <c r="B665" s="238"/>
      <c r="H665" s="155"/>
      <c r="I665" s="239"/>
      <c r="L665" s="240"/>
      <c r="M665" s="241"/>
      <c r="N665" s="178"/>
      <c r="O665" s="242"/>
      <c r="P665" s="243"/>
    </row>
    <row r="666" spans="2:16" ht="12.75">
      <c r="B666" s="238"/>
      <c r="H666" s="155"/>
      <c r="I666" s="239"/>
      <c r="L666" s="240"/>
      <c r="M666" s="241"/>
      <c r="N666" s="178"/>
      <c r="O666" s="242"/>
      <c r="P666" s="243"/>
    </row>
    <row r="667" spans="2:16" ht="12.75">
      <c r="B667" s="238"/>
      <c r="H667" s="155"/>
      <c r="I667" s="239"/>
      <c r="L667" s="240"/>
      <c r="M667" s="241"/>
      <c r="N667" s="178"/>
      <c r="O667" s="242"/>
      <c r="P667" s="243"/>
    </row>
    <row r="668" spans="2:16" ht="12.75">
      <c r="B668" s="238"/>
      <c r="H668" s="155"/>
      <c r="I668" s="239"/>
      <c r="L668" s="240"/>
      <c r="M668" s="241"/>
      <c r="N668" s="178"/>
      <c r="O668" s="242"/>
      <c r="P668" s="243"/>
    </row>
    <row r="669" spans="2:16" ht="12.75">
      <c r="B669" s="238"/>
      <c r="H669" s="155"/>
      <c r="I669" s="239"/>
      <c r="L669" s="240"/>
      <c r="M669" s="241"/>
      <c r="N669" s="178"/>
      <c r="O669" s="242"/>
      <c r="P669" s="243"/>
    </row>
    <row r="670" spans="2:16" ht="12.75">
      <c r="B670" s="238"/>
      <c r="H670" s="155"/>
      <c r="I670" s="239"/>
      <c r="L670" s="240"/>
      <c r="M670" s="241"/>
      <c r="N670" s="178"/>
      <c r="O670" s="242"/>
      <c r="P670" s="243"/>
    </row>
    <row r="671" spans="2:16" ht="12.75">
      <c r="B671" s="238"/>
      <c r="H671" s="155"/>
      <c r="I671" s="239"/>
      <c r="L671" s="240"/>
      <c r="M671" s="241"/>
      <c r="N671" s="178"/>
      <c r="O671" s="242"/>
      <c r="P671" s="243"/>
    </row>
    <row r="672" spans="2:16" ht="12.75">
      <c r="B672" s="238"/>
      <c r="H672" s="155"/>
      <c r="I672" s="239"/>
      <c r="L672" s="240"/>
      <c r="M672" s="241"/>
      <c r="N672" s="178"/>
      <c r="O672" s="242"/>
      <c r="P672" s="243"/>
    </row>
    <row r="673" spans="2:16" ht="12.75">
      <c r="B673" s="238"/>
      <c r="H673" s="155"/>
      <c r="I673" s="239"/>
      <c r="L673" s="240"/>
      <c r="M673" s="241"/>
      <c r="N673" s="178"/>
      <c r="O673" s="242"/>
      <c r="P673" s="243"/>
    </row>
    <row r="674" spans="2:16" ht="12.75">
      <c r="B674" s="238"/>
      <c r="H674" s="155"/>
      <c r="I674" s="239"/>
      <c r="L674" s="240"/>
      <c r="M674" s="241"/>
      <c r="N674" s="178"/>
      <c r="O674" s="242"/>
      <c r="P674" s="243"/>
    </row>
    <row r="675" spans="2:16" ht="12.75">
      <c r="B675" s="238"/>
      <c r="H675" s="155"/>
      <c r="I675" s="239"/>
      <c r="L675" s="240"/>
      <c r="M675" s="241"/>
      <c r="N675" s="178"/>
      <c r="O675" s="242"/>
      <c r="P675" s="243"/>
    </row>
    <row r="676" spans="2:16" ht="12.75">
      <c r="B676" s="238"/>
      <c r="H676" s="155"/>
      <c r="I676" s="239"/>
      <c r="L676" s="240"/>
      <c r="M676" s="241"/>
      <c r="N676" s="178"/>
      <c r="O676" s="242"/>
      <c r="P676" s="243"/>
    </row>
    <row r="677" spans="2:16" ht="12.75">
      <c r="B677" s="238"/>
      <c r="H677" s="155"/>
      <c r="I677" s="239"/>
      <c r="L677" s="240"/>
      <c r="M677" s="241"/>
      <c r="N677" s="178"/>
      <c r="O677" s="242"/>
      <c r="P677" s="243"/>
    </row>
    <row r="678" spans="2:16" ht="12.75">
      <c r="B678" s="238"/>
      <c r="H678" s="155"/>
      <c r="I678" s="239"/>
      <c r="L678" s="240"/>
      <c r="M678" s="241"/>
      <c r="N678" s="178"/>
      <c r="O678" s="242"/>
      <c r="P678" s="243"/>
    </row>
    <row r="679" spans="2:16" ht="12.75">
      <c r="B679" s="238"/>
      <c r="H679" s="155"/>
      <c r="I679" s="239"/>
      <c r="L679" s="240"/>
      <c r="M679" s="241"/>
      <c r="N679" s="178"/>
      <c r="O679" s="242"/>
      <c r="P679" s="243"/>
    </row>
    <row r="680" spans="2:16" ht="12.75">
      <c r="B680" s="238"/>
      <c r="H680" s="155"/>
      <c r="I680" s="239"/>
      <c r="L680" s="240"/>
      <c r="M680" s="241"/>
      <c r="N680" s="178"/>
      <c r="O680" s="242"/>
      <c r="P680" s="243"/>
    </row>
    <row r="681" spans="2:16" ht="12.75">
      <c r="B681" s="238"/>
      <c r="H681" s="155"/>
      <c r="I681" s="239"/>
      <c r="L681" s="240"/>
      <c r="M681" s="241"/>
      <c r="N681" s="178"/>
      <c r="O681" s="242"/>
      <c r="P681" s="243"/>
    </row>
    <row r="682" spans="2:16" ht="12.75">
      <c r="B682" s="238"/>
      <c r="H682" s="155"/>
      <c r="I682" s="239"/>
      <c r="L682" s="240"/>
      <c r="M682" s="241"/>
      <c r="N682" s="178"/>
      <c r="O682" s="242"/>
      <c r="P682" s="243"/>
    </row>
    <row r="683" spans="2:16" ht="12.75">
      <c r="B683" s="238"/>
      <c r="H683" s="155"/>
      <c r="I683" s="239"/>
      <c r="L683" s="240"/>
      <c r="M683" s="241"/>
      <c r="N683" s="178"/>
      <c r="O683" s="242"/>
      <c r="P683" s="243"/>
    </row>
    <row r="684" spans="2:16" ht="12.75">
      <c r="B684" s="238"/>
      <c r="H684" s="155"/>
      <c r="I684" s="239"/>
      <c r="L684" s="240"/>
      <c r="M684" s="241"/>
      <c r="N684" s="178"/>
      <c r="O684" s="242"/>
      <c r="P684" s="243"/>
    </row>
    <row r="685" spans="2:16" ht="12.75">
      <c r="B685" s="238"/>
      <c r="H685" s="155"/>
      <c r="I685" s="239"/>
      <c r="L685" s="240"/>
      <c r="M685" s="241"/>
      <c r="N685" s="178"/>
      <c r="O685" s="242"/>
      <c r="P685" s="243"/>
    </row>
    <row r="686" spans="2:16" ht="12.75">
      <c r="B686" s="238"/>
      <c r="H686" s="155"/>
      <c r="I686" s="239"/>
      <c r="L686" s="240"/>
      <c r="M686" s="241"/>
      <c r="N686" s="178"/>
      <c r="O686" s="242"/>
      <c r="P686" s="243"/>
    </row>
    <row r="687" spans="2:16" ht="12.75">
      <c r="B687" s="238"/>
      <c r="H687" s="155"/>
      <c r="I687" s="239"/>
      <c r="L687" s="240"/>
      <c r="M687" s="241"/>
      <c r="N687" s="178"/>
      <c r="O687" s="242"/>
      <c r="P687" s="243"/>
    </row>
    <row r="688" spans="2:16" ht="12.75">
      <c r="B688" s="238"/>
      <c r="H688" s="155"/>
      <c r="I688" s="239"/>
      <c r="L688" s="240"/>
      <c r="M688" s="241"/>
      <c r="N688" s="178"/>
      <c r="O688" s="242"/>
      <c r="P688" s="243"/>
    </row>
    <row r="689" spans="2:16" ht="12.75">
      <c r="B689" s="238"/>
      <c r="H689" s="155"/>
      <c r="I689" s="239"/>
      <c r="L689" s="240"/>
      <c r="M689" s="241"/>
      <c r="N689" s="178"/>
      <c r="O689" s="242"/>
      <c r="P689" s="243"/>
    </row>
    <row r="690" spans="2:16" ht="12.75">
      <c r="B690" s="238"/>
      <c r="H690" s="155"/>
      <c r="I690" s="239"/>
      <c r="L690" s="240"/>
      <c r="M690" s="241"/>
      <c r="N690" s="178"/>
      <c r="O690" s="242"/>
      <c r="P690" s="243"/>
    </row>
    <row r="691" spans="2:16" ht="12.75">
      <c r="B691" s="238"/>
      <c r="H691" s="155"/>
      <c r="I691" s="239"/>
      <c r="L691" s="240"/>
      <c r="M691" s="241"/>
      <c r="N691" s="178"/>
      <c r="O691" s="242"/>
      <c r="P691" s="243"/>
    </row>
    <row r="692" spans="2:16" ht="12.75">
      <c r="B692" s="238"/>
      <c r="H692" s="155"/>
      <c r="I692" s="239"/>
      <c r="L692" s="240"/>
      <c r="M692" s="241"/>
      <c r="N692" s="178"/>
      <c r="O692" s="242"/>
      <c r="P692" s="243"/>
    </row>
    <row r="693" spans="2:16" ht="12.75">
      <c r="B693" s="238"/>
      <c r="H693" s="155"/>
      <c r="I693" s="239"/>
      <c r="L693" s="240"/>
      <c r="M693" s="241"/>
      <c r="N693" s="178"/>
      <c r="O693" s="242"/>
      <c r="P693" s="243"/>
    </row>
    <row r="694" spans="2:16" ht="12.75">
      <c r="B694" s="238"/>
      <c r="H694" s="155"/>
      <c r="I694" s="239"/>
      <c r="L694" s="240"/>
      <c r="M694" s="241"/>
      <c r="N694" s="178"/>
      <c r="O694" s="242"/>
      <c r="P694" s="243"/>
    </row>
    <row r="695" spans="2:16" ht="12.75">
      <c r="B695" s="238"/>
      <c r="H695" s="155"/>
      <c r="I695" s="239"/>
      <c r="L695" s="240"/>
      <c r="M695" s="241"/>
      <c r="N695" s="178"/>
      <c r="O695" s="242"/>
      <c r="P695" s="243"/>
    </row>
    <row r="696" spans="2:16" ht="12.75">
      <c r="B696" s="238"/>
      <c r="H696" s="155"/>
      <c r="I696" s="239"/>
      <c r="L696" s="240"/>
      <c r="M696" s="241"/>
      <c r="N696" s="178"/>
      <c r="O696" s="242"/>
      <c r="P696" s="243"/>
    </row>
    <row r="697" spans="2:16" ht="12.75">
      <c r="B697" s="238"/>
      <c r="H697" s="155"/>
      <c r="I697" s="239"/>
      <c r="L697" s="240"/>
      <c r="M697" s="241"/>
      <c r="N697" s="178"/>
      <c r="O697" s="242"/>
      <c r="P697" s="243"/>
    </row>
    <row r="698" spans="2:16" ht="12.75">
      <c r="B698" s="238"/>
      <c r="H698" s="155"/>
      <c r="I698" s="239"/>
      <c r="L698" s="240"/>
      <c r="M698" s="241"/>
      <c r="N698" s="178"/>
      <c r="O698" s="242"/>
      <c r="P698" s="243"/>
    </row>
    <row r="699" spans="2:16" ht="12.75">
      <c r="B699" s="238"/>
      <c r="H699" s="155"/>
      <c r="I699" s="239"/>
      <c r="L699" s="240"/>
      <c r="M699" s="241"/>
      <c r="N699" s="178"/>
      <c r="O699" s="242"/>
      <c r="P699" s="243"/>
    </row>
    <row r="700" spans="2:16" ht="12.75">
      <c r="B700" s="238"/>
      <c r="H700" s="155"/>
      <c r="I700" s="239"/>
      <c r="L700" s="240"/>
      <c r="M700" s="241"/>
      <c r="N700" s="178"/>
      <c r="O700" s="242"/>
      <c r="P700" s="243"/>
    </row>
    <row r="701" spans="2:16" ht="12.75">
      <c r="B701" s="238"/>
      <c r="H701" s="155"/>
      <c r="I701" s="239"/>
      <c r="L701" s="240"/>
      <c r="M701" s="241"/>
      <c r="N701" s="178"/>
      <c r="O701" s="242"/>
      <c r="P701" s="243"/>
    </row>
    <row r="702" spans="2:16" ht="12.75">
      <c r="B702" s="238"/>
      <c r="H702" s="155"/>
      <c r="I702" s="239"/>
      <c r="L702" s="240"/>
      <c r="M702" s="241"/>
      <c r="N702" s="178"/>
      <c r="O702" s="242"/>
      <c r="P702" s="243"/>
    </row>
    <row r="703" spans="2:16" ht="12.75">
      <c r="B703" s="238"/>
      <c r="H703" s="155"/>
      <c r="I703" s="239"/>
      <c r="L703" s="240"/>
      <c r="M703" s="241"/>
      <c r="N703" s="178"/>
      <c r="O703" s="242"/>
      <c r="P703" s="243"/>
    </row>
    <row r="704" spans="2:16" ht="12.75">
      <c r="B704" s="238"/>
      <c r="H704" s="155"/>
      <c r="I704" s="239"/>
      <c r="L704" s="240"/>
      <c r="M704" s="241"/>
      <c r="N704" s="178"/>
      <c r="O704" s="242"/>
      <c r="P704" s="243"/>
    </row>
    <row r="705" spans="2:16" ht="12.75">
      <c r="B705" s="238"/>
      <c r="H705" s="155"/>
      <c r="I705" s="239"/>
      <c r="L705" s="240"/>
      <c r="M705" s="241"/>
      <c r="N705" s="178"/>
      <c r="O705" s="242"/>
      <c r="P705" s="243"/>
    </row>
    <row r="706" spans="2:16" ht="12.75">
      <c r="B706" s="238"/>
      <c r="H706" s="155"/>
      <c r="I706" s="239"/>
      <c r="L706" s="240"/>
      <c r="M706" s="241"/>
      <c r="N706" s="178"/>
      <c r="O706" s="242"/>
      <c r="P706" s="243"/>
    </row>
    <row r="707" spans="2:16" ht="12.75">
      <c r="B707" s="238"/>
      <c r="H707" s="155"/>
      <c r="I707" s="239"/>
      <c r="L707" s="240"/>
      <c r="M707" s="241"/>
      <c r="N707" s="178"/>
      <c r="O707" s="242"/>
      <c r="P707" s="243"/>
    </row>
    <row r="708" spans="2:16" ht="12.75">
      <c r="B708" s="238"/>
      <c r="H708" s="155"/>
      <c r="I708" s="239"/>
      <c r="L708" s="240"/>
      <c r="M708" s="241"/>
      <c r="N708" s="178"/>
      <c r="O708" s="242"/>
      <c r="P708" s="243"/>
    </row>
    <row r="709" spans="2:16" ht="12.75">
      <c r="B709" s="238"/>
      <c r="H709" s="155"/>
      <c r="I709" s="239"/>
      <c r="L709" s="240"/>
      <c r="M709" s="241"/>
      <c r="N709" s="178"/>
      <c r="O709" s="242"/>
      <c r="P709" s="243"/>
    </row>
    <row r="710" spans="2:16" ht="12.75">
      <c r="B710" s="238"/>
      <c r="H710" s="155"/>
      <c r="I710" s="239"/>
      <c r="L710" s="240"/>
      <c r="M710" s="241"/>
      <c r="N710" s="178"/>
      <c r="O710" s="242"/>
      <c r="P710" s="243"/>
    </row>
    <row r="711" spans="2:16" ht="12.75">
      <c r="B711" s="238"/>
      <c r="H711" s="155"/>
      <c r="I711" s="239"/>
      <c r="L711" s="240"/>
      <c r="M711" s="241"/>
      <c r="N711" s="178"/>
      <c r="O711" s="242"/>
      <c r="P711" s="243"/>
    </row>
    <row r="712" spans="2:16" ht="12.75">
      <c r="B712" s="238"/>
      <c r="H712" s="155"/>
      <c r="I712" s="239"/>
      <c r="L712" s="240"/>
      <c r="M712" s="241"/>
      <c r="N712" s="178"/>
      <c r="O712" s="242"/>
      <c r="P712" s="243"/>
    </row>
    <row r="713" spans="2:16" ht="12.75">
      <c r="B713" s="238"/>
      <c r="H713" s="155"/>
      <c r="I713" s="239"/>
      <c r="L713" s="240"/>
      <c r="M713" s="241"/>
      <c r="N713" s="178"/>
      <c r="O713" s="242"/>
      <c r="P713" s="243"/>
    </row>
    <row r="714" spans="2:16" ht="12.75">
      <c r="B714" s="238"/>
      <c r="H714" s="155"/>
      <c r="I714" s="239"/>
      <c r="L714" s="240"/>
      <c r="M714" s="241"/>
      <c r="N714" s="178"/>
      <c r="O714" s="242"/>
      <c r="P714" s="243"/>
    </row>
    <row r="715" spans="2:16" ht="12.75">
      <c r="B715" s="238"/>
      <c r="H715" s="155"/>
      <c r="I715" s="239"/>
      <c r="L715" s="240"/>
      <c r="M715" s="241"/>
      <c r="N715" s="178"/>
      <c r="O715" s="242"/>
      <c r="P715" s="243"/>
    </row>
    <row r="716" spans="2:16" ht="12.75">
      <c r="B716" s="238"/>
      <c r="H716" s="155"/>
      <c r="I716" s="239"/>
      <c r="L716" s="240"/>
      <c r="M716" s="241"/>
      <c r="N716" s="178"/>
      <c r="O716" s="242"/>
      <c r="P716" s="243"/>
    </row>
    <row r="717" spans="2:16" ht="12.75">
      <c r="B717" s="238"/>
      <c r="H717" s="155"/>
      <c r="I717" s="239"/>
      <c r="L717" s="240"/>
      <c r="M717" s="241"/>
      <c r="N717" s="178"/>
      <c r="O717" s="242"/>
      <c r="P717" s="243"/>
    </row>
    <row r="718" spans="2:16" ht="12.75">
      <c r="B718" s="238"/>
      <c r="H718" s="155"/>
      <c r="I718" s="239"/>
      <c r="L718" s="240"/>
      <c r="M718" s="241"/>
      <c r="N718" s="178"/>
      <c r="O718" s="242"/>
      <c r="P718" s="243"/>
    </row>
    <row r="719" spans="2:16" ht="12.75">
      <c r="B719" s="238"/>
      <c r="H719" s="155"/>
      <c r="I719" s="239"/>
      <c r="L719" s="240"/>
      <c r="M719" s="241"/>
      <c r="N719" s="178"/>
      <c r="O719" s="242"/>
      <c r="P719" s="243"/>
    </row>
    <row r="720" spans="2:16" ht="12.75">
      <c r="B720" s="238"/>
      <c r="H720" s="155"/>
      <c r="I720" s="239"/>
      <c r="L720" s="240"/>
      <c r="M720" s="241"/>
      <c r="N720" s="178"/>
      <c r="O720" s="242"/>
      <c r="P720" s="243"/>
    </row>
    <row r="721" spans="2:16" ht="12.75">
      <c r="B721" s="238"/>
      <c r="H721" s="155"/>
      <c r="I721" s="239"/>
      <c r="L721" s="240"/>
      <c r="M721" s="241"/>
      <c r="N721" s="178"/>
      <c r="O721" s="242"/>
      <c r="P721" s="243"/>
    </row>
    <row r="722" spans="2:16" ht="12.75">
      <c r="B722" s="238"/>
      <c r="H722" s="155"/>
      <c r="I722" s="239"/>
      <c r="L722" s="240"/>
      <c r="M722" s="241"/>
      <c r="N722" s="178"/>
      <c r="O722" s="242"/>
      <c r="P722" s="243"/>
    </row>
    <row r="723" spans="2:16" ht="12.75">
      <c r="B723" s="238"/>
      <c r="H723" s="155"/>
      <c r="I723" s="239"/>
      <c r="L723" s="240"/>
      <c r="M723" s="241"/>
      <c r="N723" s="178"/>
      <c r="O723" s="242"/>
      <c r="P723" s="243"/>
    </row>
    <row r="724" spans="2:16" ht="12.75">
      <c r="B724" s="238"/>
      <c r="H724" s="155"/>
      <c r="I724" s="239"/>
      <c r="L724" s="240"/>
      <c r="M724" s="241"/>
      <c r="N724" s="178"/>
      <c r="O724" s="242"/>
      <c r="P724" s="243"/>
    </row>
    <row r="725" spans="2:16" ht="12.75">
      <c r="B725" s="238"/>
      <c r="H725" s="155"/>
      <c r="I725" s="239"/>
      <c r="L725" s="240"/>
      <c r="M725" s="241"/>
      <c r="N725" s="178"/>
      <c r="O725" s="242"/>
      <c r="P725" s="243"/>
    </row>
    <row r="726" spans="2:16" ht="12.75">
      <c r="B726" s="238"/>
      <c r="H726" s="155"/>
      <c r="I726" s="239"/>
      <c r="L726" s="240"/>
      <c r="M726" s="241"/>
      <c r="N726" s="178"/>
      <c r="O726" s="242"/>
      <c r="P726" s="243"/>
    </row>
    <row r="727" spans="2:16" ht="12.75">
      <c r="B727" s="238"/>
      <c r="H727" s="155"/>
      <c r="I727" s="239"/>
      <c r="L727" s="240"/>
      <c r="M727" s="241"/>
      <c r="N727" s="178"/>
      <c r="O727" s="242"/>
      <c r="P727" s="243"/>
    </row>
    <row r="728" spans="2:16" ht="12.75">
      <c r="B728" s="238"/>
      <c r="H728" s="155"/>
      <c r="I728" s="239"/>
      <c r="L728" s="240"/>
      <c r="M728" s="241"/>
      <c r="N728" s="178"/>
      <c r="O728" s="242"/>
      <c r="P728" s="243"/>
    </row>
    <row r="729" spans="2:16" ht="12.75">
      <c r="B729" s="238"/>
      <c r="H729" s="155"/>
      <c r="I729" s="239"/>
      <c r="L729" s="240"/>
      <c r="M729" s="241"/>
      <c r="N729" s="178"/>
      <c r="O729" s="242"/>
      <c r="P729" s="243"/>
    </row>
    <row r="730" spans="2:16" ht="12.75">
      <c r="B730" s="238"/>
      <c r="H730" s="155"/>
      <c r="I730" s="239"/>
      <c r="L730" s="240"/>
      <c r="M730" s="241"/>
      <c r="N730" s="178"/>
      <c r="O730" s="242"/>
      <c r="P730" s="243"/>
    </row>
    <row r="731" spans="2:16" ht="12.75">
      <c r="B731" s="238"/>
      <c r="H731" s="155"/>
      <c r="I731" s="239"/>
      <c r="L731" s="240"/>
      <c r="M731" s="241"/>
      <c r="N731" s="178"/>
      <c r="O731" s="242"/>
      <c r="P731" s="243"/>
    </row>
    <row r="732" spans="2:16" ht="12.75">
      <c r="B732" s="238"/>
      <c r="H732" s="155"/>
      <c r="I732" s="239"/>
      <c r="L732" s="240"/>
      <c r="M732" s="241"/>
      <c r="N732" s="178"/>
      <c r="O732" s="242"/>
      <c r="P732" s="243"/>
    </row>
    <row r="733" spans="2:16" ht="12.75">
      <c r="B733" s="238"/>
      <c r="H733" s="155"/>
      <c r="I733" s="239"/>
      <c r="L733" s="240"/>
      <c r="M733" s="241"/>
      <c r="N733" s="178"/>
      <c r="O733" s="242"/>
      <c r="P733" s="243"/>
    </row>
    <row r="734" spans="2:16" ht="12.75">
      <c r="B734" s="238"/>
      <c r="H734" s="155"/>
      <c r="I734" s="239"/>
      <c r="L734" s="240"/>
      <c r="M734" s="241"/>
      <c r="N734" s="178"/>
      <c r="O734" s="242"/>
      <c r="P734" s="243"/>
    </row>
    <row r="735" spans="2:16" ht="12.75">
      <c r="B735" s="238"/>
      <c r="H735" s="155"/>
      <c r="I735" s="239"/>
      <c r="L735" s="240"/>
      <c r="M735" s="241"/>
      <c r="N735" s="178"/>
      <c r="O735" s="242"/>
      <c r="P735" s="243"/>
    </row>
    <row r="736" spans="2:16" ht="12.75">
      <c r="B736" s="238"/>
      <c r="H736" s="155"/>
      <c r="I736" s="239"/>
      <c r="L736" s="240"/>
      <c r="M736" s="241"/>
      <c r="N736" s="178"/>
      <c r="O736" s="242"/>
      <c r="P736" s="243"/>
    </row>
    <row r="737" spans="2:16" ht="12.75">
      <c r="B737" s="238"/>
      <c r="H737" s="155"/>
      <c r="I737" s="239"/>
      <c r="L737" s="240"/>
      <c r="M737" s="241"/>
      <c r="N737" s="178"/>
      <c r="O737" s="242"/>
      <c r="P737" s="243"/>
    </row>
    <row r="738" spans="2:16" ht="12.75">
      <c r="B738" s="238"/>
      <c r="H738" s="155"/>
      <c r="I738" s="239"/>
      <c r="L738" s="240"/>
      <c r="M738" s="241"/>
      <c r="N738" s="178"/>
      <c r="O738" s="242"/>
      <c r="P738" s="243"/>
    </row>
    <row r="739" spans="2:16" ht="12.75">
      <c r="B739" s="238"/>
      <c r="H739" s="155"/>
      <c r="I739" s="239"/>
      <c r="L739" s="240"/>
      <c r="M739" s="241"/>
      <c r="N739" s="178"/>
      <c r="O739" s="242"/>
      <c r="P739" s="243"/>
    </row>
    <row r="740" spans="2:16" ht="12.75">
      <c r="B740" s="238"/>
      <c r="H740" s="155"/>
      <c r="I740" s="239"/>
      <c r="L740" s="240"/>
      <c r="M740" s="241"/>
      <c r="N740" s="178"/>
      <c r="O740" s="242"/>
      <c r="P740" s="243"/>
    </row>
    <row r="741" spans="2:16" ht="12.75">
      <c r="B741" s="238"/>
      <c r="H741" s="155"/>
      <c r="I741" s="239"/>
      <c r="L741" s="240"/>
      <c r="M741" s="241"/>
      <c r="N741" s="178"/>
      <c r="O741" s="242"/>
      <c r="P741" s="243"/>
    </row>
    <row r="742" spans="2:16" ht="12.75">
      <c r="B742" s="238"/>
      <c r="H742" s="155"/>
      <c r="I742" s="239"/>
      <c r="L742" s="240"/>
      <c r="M742" s="241"/>
      <c r="N742" s="178"/>
      <c r="O742" s="242"/>
      <c r="P742" s="243"/>
    </row>
    <row r="743" spans="2:16" ht="12.75">
      <c r="B743" s="238"/>
      <c r="H743" s="155"/>
      <c r="I743" s="239"/>
      <c r="L743" s="240"/>
      <c r="M743" s="241"/>
      <c r="N743" s="178"/>
      <c r="O743" s="242"/>
      <c r="P743" s="243"/>
    </row>
    <row r="744" spans="2:16" ht="12.75">
      <c r="B744" s="238"/>
      <c r="H744" s="155"/>
      <c r="I744" s="239"/>
      <c r="L744" s="240"/>
      <c r="M744" s="241"/>
      <c r="N744" s="178"/>
      <c r="O744" s="242"/>
      <c r="P744" s="243"/>
    </row>
    <row r="745" spans="2:16" ht="12.75">
      <c r="B745" s="238"/>
      <c r="H745" s="155"/>
      <c r="I745" s="239"/>
      <c r="L745" s="240"/>
      <c r="M745" s="241"/>
      <c r="N745" s="178"/>
      <c r="O745" s="242"/>
      <c r="P745" s="243"/>
    </row>
    <row r="746" spans="2:16" ht="12.75">
      <c r="B746" s="238"/>
      <c r="H746" s="155"/>
      <c r="I746" s="239"/>
      <c r="L746" s="240"/>
      <c r="M746" s="241"/>
      <c r="N746" s="178"/>
      <c r="O746" s="242"/>
      <c r="P746" s="243"/>
    </row>
    <row r="747" spans="2:16" ht="12.75">
      <c r="B747" s="238"/>
      <c r="H747" s="155"/>
      <c r="I747" s="239"/>
      <c r="L747" s="240"/>
      <c r="M747" s="241"/>
      <c r="N747" s="178"/>
      <c r="O747" s="242"/>
      <c r="P747" s="243"/>
    </row>
    <row r="748" spans="2:16" ht="12.75">
      <c r="B748" s="238"/>
      <c r="H748" s="155"/>
      <c r="I748" s="239"/>
      <c r="L748" s="240"/>
      <c r="M748" s="241"/>
      <c r="N748" s="178"/>
      <c r="O748" s="242"/>
      <c r="P748" s="243"/>
    </row>
    <row r="749" spans="2:16" ht="12.75">
      <c r="B749" s="238"/>
      <c r="H749" s="155"/>
      <c r="I749" s="239"/>
      <c r="L749" s="240"/>
      <c r="M749" s="241"/>
      <c r="N749" s="178"/>
      <c r="O749" s="242"/>
      <c r="P749" s="243"/>
    </row>
    <row r="750" spans="2:16" ht="12.75">
      <c r="B750" s="238"/>
      <c r="H750" s="155"/>
      <c r="I750" s="239"/>
      <c r="L750" s="240"/>
      <c r="M750" s="241"/>
      <c r="N750" s="178"/>
      <c r="O750" s="242"/>
      <c r="P750" s="243"/>
    </row>
    <row r="751" spans="2:16" ht="12.75">
      <c r="B751" s="238"/>
      <c r="H751" s="155"/>
      <c r="I751" s="239"/>
      <c r="L751" s="240"/>
      <c r="M751" s="241"/>
      <c r="N751" s="178"/>
      <c r="O751" s="242"/>
      <c r="P751" s="243"/>
    </row>
    <row r="752" spans="2:16" ht="12.75">
      <c r="B752" s="238"/>
      <c r="H752" s="155"/>
      <c r="I752" s="239"/>
      <c r="L752" s="240"/>
      <c r="M752" s="241"/>
      <c r="N752" s="178"/>
      <c r="O752" s="242"/>
      <c r="P752" s="243"/>
    </row>
    <row r="753" spans="2:16" ht="12.75">
      <c r="B753" s="238"/>
      <c r="H753" s="155"/>
      <c r="I753" s="239"/>
      <c r="L753" s="240"/>
      <c r="M753" s="241"/>
      <c r="N753" s="178"/>
      <c r="O753" s="242"/>
      <c r="P753" s="243"/>
    </row>
    <row r="754" spans="2:16" ht="12.75">
      <c r="B754" s="238"/>
      <c r="H754" s="155"/>
      <c r="I754" s="239"/>
      <c r="L754" s="240"/>
      <c r="M754" s="241"/>
      <c r="N754" s="178"/>
      <c r="O754" s="242"/>
      <c r="P754" s="243"/>
    </row>
    <row r="755" spans="2:16" ht="12.75">
      <c r="B755" s="238"/>
      <c r="H755" s="155"/>
      <c r="I755" s="239"/>
      <c r="L755" s="240"/>
      <c r="M755" s="241"/>
      <c r="N755" s="178"/>
      <c r="O755" s="242"/>
      <c r="P755" s="243"/>
    </row>
    <row r="756" spans="2:16" ht="12.75">
      <c r="B756" s="238"/>
      <c r="H756" s="155"/>
      <c r="I756" s="239"/>
      <c r="L756" s="240"/>
      <c r="M756" s="241"/>
      <c r="N756" s="178"/>
      <c r="O756" s="242"/>
      <c r="P756" s="243"/>
    </row>
    <row r="757" spans="2:16" ht="12.75">
      <c r="B757" s="238"/>
      <c r="H757" s="155"/>
      <c r="I757" s="239"/>
      <c r="L757" s="240"/>
      <c r="M757" s="241"/>
      <c r="N757" s="178"/>
      <c r="O757" s="242"/>
      <c r="P757" s="243"/>
    </row>
    <row r="758" spans="2:16" ht="12.75">
      <c r="B758" s="238"/>
      <c r="H758" s="155"/>
      <c r="I758" s="239"/>
      <c r="L758" s="240"/>
      <c r="M758" s="241"/>
      <c r="N758" s="178"/>
      <c r="O758" s="242"/>
      <c r="P758" s="243"/>
    </row>
    <row r="759" spans="2:16" ht="12.75">
      <c r="B759" s="238"/>
      <c r="H759" s="155"/>
      <c r="I759" s="239"/>
      <c r="L759" s="240"/>
      <c r="M759" s="241"/>
      <c r="N759" s="178"/>
      <c r="O759" s="242"/>
      <c r="P759" s="243"/>
    </row>
    <row r="760" spans="2:16" ht="12.75">
      <c r="B760" s="238"/>
      <c r="H760" s="155"/>
      <c r="I760" s="239"/>
      <c r="L760" s="240"/>
      <c r="M760" s="241"/>
      <c r="N760" s="178"/>
      <c r="O760" s="242"/>
      <c r="P760" s="243"/>
    </row>
    <row r="761" spans="2:16" ht="12.75">
      <c r="B761" s="238"/>
      <c r="H761" s="155"/>
      <c r="I761" s="239"/>
      <c r="L761" s="240"/>
      <c r="M761" s="241"/>
      <c r="N761" s="178"/>
      <c r="O761" s="242"/>
      <c r="P761" s="243"/>
    </row>
    <row r="762" spans="2:16" ht="12.75">
      <c r="B762" s="238"/>
      <c r="H762" s="155"/>
      <c r="I762" s="239"/>
      <c r="L762" s="240"/>
      <c r="M762" s="241"/>
      <c r="N762" s="178"/>
      <c r="O762" s="242"/>
      <c r="P762" s="243"/>
    </row>
    <row r="763" spans="2:16" ht="12.75">
      <c r="B763" s="238"/>
      <c r="H763" s="155"/>
      <c r="I763" s="239"/>
      <c r="L763" s="240"/>
      <c r="M763" s="241"/>
      <c r="N763" s="178"/>
      <c r="O763" s="242"/>
      <c r="P763" s="243"/>
    </row>
    <row r="764" spans="2:16" ht="12.75">
      <c r="B764" s="238"/>
      <c r="H764" s="155"/>
      <c r="I764" s="239"/>
      <c r="L764" s="240"/>
      <c r="M764" s="241"/>
      <c r="N764" s="178"/>
      <c r="O764" s="242"/>
      <c r="P764" s="243"/>
    </row>
    <row r="765" spans="2:16" ht="12.75">
      <c r="B765" s="238"/>
      <c r="H765" s="155"/>
      <c r="I765" s="239"/>
      <c r="L765" s="240"/>
      <c r="M765" s="241"/>
      <c r="N765" s="178"/>
      <c r="O765" s="242"/>
      <c r="P765" s="243"/>
    </row>
    <row r="766" spans="2:16" ht="12.75">
      <c r="B766" s="238"/>
      <c r="H766" s="155"/>
      <c r="I766" s="239"/>
      <c r="L766" s="240"/>
      <c r="M766" s="241"/>
      <c r="N766" s="178"/>
      <c r="O766" s="242"/>
      <c r="P766" s="243"/>
    </row>
    <row r="767" spans="2:16" ht="12.75">
      <c r="B767" s="238"/>
      <c r="H767" s="155"/>
      <c r="I767" s="239"/>
      <c r="L767" s="240"/>
      <c r="M767" s="241"/>
      <c r="N767" s="178"/>
      <c r="O767" s="242"/>
      <c r="P767" s="243"/>
    </row>
    <row r="768" spans="2:16" ht="12.75">
      <c r="B768" s="238"/>
      <c r="H768" s="155"/>
      <c r="I768" s="239"/>
      <c r="L768" s="240"/>
      <c r="M768" s="241"/>
      <c r="N768" s="178"/>
      <c r="O768" s="242"/>
      <c r="P768" s="243"/>
    </row>
    <row r="769" spans="2:16" ht="12.75">
      <c r="B769" s="238"/>
      <c r="H769" s="155"/>
      <c r="I769" s="239"/>
      <c r="L769" s="240"/>
      <c r="M769" s="241"/>
      <c r="N769" s="178"/>
      <c r="O769" s="242"/>
      <c r="P769" s="243"/>
    </row>
    <row r="770" spans="2:16" ht="12.75">
      <c r="B770" s="238"/>
      <c r="H770" s="155"/>
      <c r="I770" s="239"/>
      <c r="L770" s="240"/>
      <c r="M770" s="241"/>
      <c r="N770" s="178"/>
      <c r="O770" s="242"/>
      <c r="P770" s="243"/>
    </row>
    <row r="771" spans="2:16" ht="12.75">
      <c r="B771" s="238"/>
      <c r="H771" s="155"/>
      <c r="I771" s="239"/>
      <c r="L771" s="240"/>
      <c r="M771" s="241"/>
      <c r="N771" s="178"/>
      <c r="O771" s="242"/>
      <c r="P771" s="243"/>
    </row>
    <row r="772" spans="2:16" ht="12.75">
      <c r="B772" s="238"/>
      <c r="H772" s="155"/>
      <c r="I772" s="239"/>
      <c r="L772" s="240"/>
      <c r="M772" s="241"/>
      <c r="N772" s="178"/>
      <c r="O772" s="242"/>
      <c r="P772" s="243"/>
    </row>
    <row r="773" spans="2:16" ht="12.75">
      <c r="B773" s="238"/>
      <c r="H773" s="155"/>
      <c r="I773" s="239"/>
      <c r="L773" s="240"/>
      <c r="M773" s="241"/>
      <c r="N773" s="178"/>
      <c r="O773" s="242"/>
      <c r="P773" s="243"/>
    </row>
    <row r="774" spans="2:16" ht="12.75">
      <c r="B774" s="238"/>
      <c r="H774" s="155"/>
      <c r="I774" s="239"/>
      <c r="L774" s="240"/>
      <c r="M774" s="241"/>
      <c r="N774" s="178"/>
      <c r="O774" s="242"/>
      <c r="P774" s="243"/>
    </row>
    <row r="775" spans="2:16" ht="12.75">
      <c r="B775" s="238"/>
      <c r="H775" s="155"/>
      <c r="I775" s="239"/>
      <c r="L775" s="240"/>
      <c r="M775" s="241"/>
      <c r="N775" s="178"/>
      <c r="O775" s="242"/>
      <c r="P775" s="243"/>
    </row>
    <row r="776" spans="2:16" ht="12.75">
      <c r="B776" s="238"/>
      <c r="H776" s="155"/>
      <c r="I776" s="239"/>
      <c r="L776" s="240"/>
      <c r="M776" s="241"/>
      <c r="N776" s="178"/>
      <c r="O776" s="242"/>
      <c r="P776" s="243"/>
    </row>
    <row r="777" spans="2:16" ht="12.75">
      <c r="B777" s="238"/>
      <c r="H777" s="155"/>
      <c r="I777" s="239"/>
      <c r="L777" s="240"/>
      <c r="M777" s="241"/>
      <c r="N777" s="178"/>
      <c r="O777" s="242"/>
      <c r="P777" s="243"/>
    </row>
    <row r="778" spans="2:16" ht="12.75">
      <c r="B778" s="238"/>
      <c r="H778" s="155"/>
      <c r="I778" s="239"/>
      <c r="L778" s="240"/>
      <c r="M778" s="241"/>
      <c r="N778" s="178"/>
      <c r="O778" s="242"/>
      <c r="P778" s="243"/>
    </row>
    <row r="779" spans="2:16" ht="12.75">
      <c r="B779" s="238"/>
      <c r="H779" s="155"/>
      <c r="I779" s="239"/>
      <c r="L779" s="240"/>
      <c r="M779" s="241"/>
      <c r="N779" s="178"/>
      <c r="O779" s="242"/>
      <c r="P779" s="243"/>
    </row>
    <row r="780" spans="2:16" ht="12.75">
      <c r="B780" s="238"/>
      <c r="H780" s="155"/>
      <c r="I780" s="239"/>
      <c r="L780" s="240"/>
      <c r="M780" s="241"/>
      <c r="N780" s="178"/>
      <c r="O780" s="242"/>
      <c r="P780" s="243"/>
    </row>
    <row r="781" spans="2:16" ht="12.75">
      <c r="B781" s="238"/>
      <c r="H781" s="155"/>
      <c r="I781" s="239"/>
      <c r="L781" s="240"/>
      <c r="M781" s="241"/>
      <c r="N781" s="178"/>
      <c r="O781" s="242"/>
      <c r="P781" s="243"/>
    </row>
    <row r="782" spans="2:16" ht="12.75">
      <c r="B782" s="238"/>
      <c r="H782" s="155"/>
      <c r="I782" s="239"/>
      <c r="L782" s="240"/>
      <c r="M782" s="241"/>
      <c r="N782" s="178"/>
      <c r="O782" s="242"/>
      <c r="P782" s="243"/>
    </row>
    <row r="783" spans="2:16" ht="12.75">
      <c r="B783" s="238"/>
      <c r="H783" s="155"/>
      <c r="I783" s="239"/>
      <c r="L783" s="240"/>
      <c r="M783" s="241"/>
      <c r="N783" s="178"/>
      <c r="O783" s="242"/>
      <c r="P783" s="243"/>
    </row>
    <row r="784" spans="2:16" ht="12.75">
      <c r="B784" s="238"/>
      <c r="H784" s="155"/>
      <c r="I784" s="239"/>
      <c r="L784" s="240"/>
      <c r="M784" s="241"/>
      <c r="N784" s="178"/>
      <c r="O784" s="242"/>
      <c r="P784" s="243"/>
    </row>
    <row r="785" spans="2:16" ht="12.75">
      <c r="B785" s="238"/>
      <c r="H785" s="155"/>
      <c r="I785" s="239"/>
      <c r="L785" s="240"/>
      <c r="M785" s="241"/>
      <c r="N785" s="178"/>
      <c r="O785" s="242"/>
      <c r="P785" s="243"/>
    </row>
    <row r="786" spans="2:16" ht="12.75">
      <c r="B786" s="238"/>
      <c r="H786" s="155"/>
      <c r="I786" s="239"/>
      <c r="L786" s="240"/>
      <c r="M786" s="241"/>
      <c r="N786" s="178"/>
      <c r="O786" s="242"/>
      <c r="P786" s="243"/>
    </row>
    <row r="787" spans="2:16" ht="12.75">
      <c r="B787" s="238"/>
      <c r="H787" s="155"/>
      <c r="I787" s="239"/>
      <c r="L787" s="240"/>
      <c r="M787" s="241"/>
      <c r="N787" s="178"/>
      <c r="O787" s="242"/>
      <c r="P787" s="243"/>
    </row>
    <row r="788" spans="2:16" ht="12.75">
      <c r="B788" s="238"/>
      <c r="H788" s="155"/>
      <c r="I788" s="239"/>
      <c r="L788" s="240"/>
      <c r="M788" s="241"/>
      <c r="N788" s="178"/>
      <c r="O788" s="242"/>
      <c r="P788" s="243"/>
    </row>
    <row r="789" spans="2:16" ht="12.75">
      <c r="B789" s="238"/>
      <c r="H789" s="155"/>
      <c r="I789" s="239"/>
      <c r="L789" s="240"/>
      <c r="M789" s="241"/>
      <c r="N789" s="178"/>
      <c r="O789" s="242"/>
      <c r="P789" s="243"/>
    </row>
    <row r="790" spans="2:16" ht="12.75">
      <c r="B790" s="238"/>
      <c r="H790" s="155"/>
      <c r="I790" s="239"/>
      <c r="L790" s="240"/>
      <c r="M790" s="241"/>
      <c r="N790" s="178"/>
      <c r="O790" s="242"/>
      <c r="P790" s="243"/>
    </row>
    <row r="791" spans="2:16" ht="12.75">
      <c r="B791" s="238"/>
      <c r="H791" s="155"/>
      <c r="I791" s="239"/>
      <c r="L791" s="240"/>
      <c r="M791" s="241"/>
      <c r="N791" s="178"/>
      <c r="O791" s="242"/>
      <c r="P791" s="243"/>
    </row>
    <row r="792" spans="2:16" ht="12.75">
      <c r="B792" s="238"/>
      <c r="H792" s="155"/>
      <c r="I792" s="239"/>
      <c r="L792" s="240"/>
      <c r="M792" s="241"/>
      <c r="N792" s="178"/>
      <c r="O792" s="242"/>
      <c r="P792" s="243"/>
    </row>
    <row r="793" spans="2:16" ht="12.75">
      <c r="B793" s="238"/>
      <c r="H793" s="155"/>
      <c r="I793" s="239"/>
      <c r="L793" s="240"/>
      <c r="M793" s="241"/>
      <c r="N793" s="178"/>
      <c r="O793" s="242"/>
      <c r="P793" s="243"/>
    </row>
    <row r="794" spans="2:16" ht="12.75">
      <c r="B794" s="238"/>
      <c r="H794" s="155"/>
      <c r="I794" s="239"/>
      <c r="L794" s="240"/>
      <c r="M794" s="241"/>
      <c r="N794" s="178"/>
      <c r="O794" s="242"/>
      <c r="P794" s="243"/>
    </row>
    <row r="795" spans="2:16" ht="12.75">
      <c r="B795" s="238"/>
      <c r="H795" s="155"/>
      <c r="I795" s="239"/>
      <c r="L795" s="240"/>
      <c r="M795" s="241"/>
      <c r="N795" s="178"/>
      <c r="O795" s="242"/>
      <c r="P795" s="243"/>
    </row>
    <row r="796" spans="2:16" ht="12.75">
      <c r="B796" s="238"/>
      <c r="H796" s="155"/>
      <c r="I796" s="239"/>
      <c r="L796" s="240"/>
      <c r="M796" s="241"/>
      <c r="N796" s="178"/>
      <c r="O796" s="242"/>
      <c r="P796" s="243"/>
    </row>
    <row r="797" spans="2:16" ht="12.75">
      <c r="B797" s="238"/>
      <c r="H797" s="155"/>
      <c r="I797" s="239"/>
      <c r="L797" s="240"/>
      <c r="M797" s="241"/>
      <c r="N797" s="178"/>
      <c r="O797" s="242"/>
      <c r="P797" s="243"/>
    </row>
    <row r="798" spans="2:16" ht="12.75">
      <c r="B798" s="238"/>
      <c r="H798" s="155"/>
      <c r="I798" s="239"/>
      <c r="L798" s="240"/>
      <c r="M798" s="241"/>
      <c r="N798" s="178"/>
      <c r="O798" s="242"/>
      <c r="P798" s="243"/>
    </row>
    <row r="799" spans="2:16" ht="12.75">
      <c r="B799" s="238"/>
      <c r="H799" s="155"/>
      <c r="I799" s="239"/>
      <c r="L799" s="240"/>
      <c r="M799" s="241"/>
      <c r="N799" s="178"/>
      <c r="O799" s="242"/>
      <c r="P799" s="243"/>
    </row>
    <row r="800" spans="2:16" ht="12.75">
      <c r="B800" s="238"/>
      <c r="H800" s="155"/>
      <c r="I800" s="239"/>
      <c r="L800" s="240"/>
      <c r="M800" s="241"/>
      <c r="N800" s="178"/>
      <c r="O800" s="242"/>
      <c r="P800" s="243"/>
    </row>
    <row r="801" spans="2:16" ht="12.75">
      <c r="B801" s="238"/>
      <c r="H801" s="155"/>
      <c r="I801" s="239"/>
      <c r="L801" s="240"/>
      <c r="M801" s="241"/>
      <c r="N801" s="178"/>
      <c r="O801" s="242"/>
      <c r="P801" s="243"/>
    </row>
    <row r="802" spans="2:16" ht="12.75">
      <c r="B802" s="238"/>
      <c r="H802" s="155"/>
      <c r="I802" s="239"/>
      <c r="L802" s="240"/>
      <c r="M802" s="241"/>
      <c r="N802" s="178"/>
      <c r="O802" s="242"/>
      <c r="P802" s="243"/>
    </row>
    <row r="803" spans="2:16" ht="12.75">
      <c r="B803" s="238"/>
      <c r="H803" s="155"/>
      <c r="I803" s="239"/>
      <c r="L803" s="240"/>
      <c r="M803" s="241"/>
      <c r="N803" s="178"/>
      <c r="O803" s="242"/>
      <c r="P803" s="243"/>
    </row>
    <row r="804" spans="2:16" ht="12.75">
      <c r="B804" s="238"/>
      <c r="H804" s="155"/>
      <c r="I804" s="239"/>
      <c r="L804" s="240"/>
      <c r="M804" s="241"/>
      <c r="N804" s="178"/>
      <c r="O804" s="242"/>
      <c r="P804" s="243"/>
    </row>
    <row r="805" spans="2:16" ht="12.75">
      <c r="B805" s="238"/>
      <c r="H805" s="155"/>
      <c r="I805" s="239"/>
      <c r="L805" s="240"/>
      <c r="M805" s="241"/>
      <c r="N805" s="178"/>
      <c r="O805" s="242"/>
      <c r="P805" s="243"/>
    </row>
    <row r="806" spans="2:16" ht="12.75">
      <c r="B806" s="238"/>
      <c r="H806" s="155"/>
      <c r="I806" s="239"/>
      <c r="L806" s="240"/>
      <c r="M806" s="241"/>
      <c r="N806" s="178"/>
      <c r="O806" s="242"/>
      <c r="P806" s="243"/>
    </row>
    <row r="807" spans="2:16" ht="12.75">
      <c r="B807" s="238"/>
      <c r="H807" s="155"/>
      <c r="I807" s="239"/>
      <c r="L807" s="240"/>
      <c r="M807" s="241"/>
      <c r="N807" s="178"/>
      <c r="O807" s="242"/>
      <c r="P807" s="243"/>
    </row>
    <row r="808" spans="2:16" ht="12.75">
      <c r="B808" s="238"/>
      <c r="H808" s="155"/>
      <c r="I808" s="239"/>
      <c r="L808" s="240"/>
      <c r="M808" s="241"/>
      <c r="N808" s="178"/>
      <c r="O808" s="242"/>
      <c r="P808" s="243"/>
    </row>
    <row r="809" spans="2:16" ht="12.75">
      <c r="B809" s="238"/>
      <c r="H809" s="155"/>
      <c r="I809" s="239"/>
      <c r="L809" s="240"/>
      <c r="M809" s="241"/>
      <c r="N809" s="178"/>
      <c r="O809" s="242"/>
      <c r="P809" s="243"/>
    </row>
    <row r="810" spans="2:16" ht="12.75">
      <c r="B810" s="238"/>
      <c r="H810" s="155"/>
      <c r="I810" s="239"/>
      <c r="L810" s="240"/>
      <c r="M810" s="241"/>
      <c r="N810" s="178"/>
      <c r="O810" s="242"/>
      <c r="P810" s="243"/>
    </row>
    <row r="811" spans="2:16" ht="12.75">
      <c r="B811" s="238"/>
      <c r="H811" s="155"/>
      <c r="I811" s="239"/>
      <c r="L811" s="240"/>
      <c r="M811" s="241"/>
      <c r="N811" s="178"/>
      <c r="O811" s="242"/>
      <c r="P811" s="243"/>
    </row>
    <row r="812" spans="2:16" ht="12.75">
      <c r="B812" s="238"/>
      <c r="H812" s="155"/>
      <c r="I812" s="239"/>
      <c r="L812" s="240"/>
      <c r="M812" s="241"/>
      <c r="N812" s="178"/>
      <c r="O812" s="242"/>
      <c r="P812" s="243"/>
    </row>
    <row r="813" spans="2:16" ht="12.75">
      <c r="B813" s="238"/>
      <c r="H813" s="155"/>
      <c r="I813" s="239"/>
      <c r="L813" s="240"/>
      <c r="M813" s="241"/>
      <c r="N813" s="178"/>
      <c r="O813" s="242"/>
      <c r="P813" s="243"/>
    </row>
    <row r="814" spans="2:16" ht="12.75">
      <c r="B814" s="238"/>
      <c r="H814" s="155"/>
      <c r="I814" s="239"/>
      <c r="L814" s="240"/>
      <c r="M814" s="241"/>
      <c r="N814" s="178"/>
      <c r="O814" s="242"/>
      <c r="P814" s="243"/>
    </row>
    <row r="815" spans="2:16" ht="12.75">
      <c r="B815" s="238"/>
      <c r="H815" s="155"/>
      <c r="I815" s="239"/>
      <c r="L815" s="240"/>
      <c r="M815" s="241"/>
      <c r="N815" s="178"/>
      <c r="O815" s="242"/>
      <c r="P815" s="243"/>
    </row>
    <row r="816" spans="2:16" ht="12.75">
      <c r="B816" s="238"/>
      <c r="H816" s="155"/>
      <c r="I816" s="239"/>
      <c r="L816" s="240"/>
      <c r="M816" s="241"/>
      <c r="N816" s="178"/>
      <c r="O816" s="242"/>
      <c r="P816" s="243"/>
    </row>
    <row r="817" spans="2:16" ht="12.75">
      <c r="B817" s="238"/>
      <c r="H817" s="155"/>
      <c r="I817" s="239"/>
      <c r="L817" s="240"/>
      <c r="M817" s="241"/>
      <c r="N817" s="178"/>
      <c r="O817" s="242"/>
      <c r="P817" s="243"/>
    </row>
    <row r="818" spans="2:16" ht="12.75">
      <c r="B818" s="238"/>
      <c r="H818" s="155"/>
      <c r="I818" s="239"/>
      <c r="L818" s="240"/>
      <c r="M818" s="241"/>
      <c r="N818" s="178"/>
      <c r="O818" s="242"/>
      <c r="P818" s="243"/>
    </row>
    <row r="819" spans="2:16" ht="12.75">
      <c r="B819" s="238"/>
      <c r="H819" s="155"/>
      <c r="I819" s="239"/>
      <c r="L819" s="240"/>
      <c r="M819" s="241"/>
      <c r="N819" s="178"/>
      <c r="O819" s="242"/>
      <c r="P819" s="243"/>
    </row>
    <row r="820" spans="2:16" ht="12.75">
      <c r="B820" s="238"/>
      <c r="H820" s="155"/>
      <c r="I820" s="239"/>
      <c r="L820" s="240"/>
      <c r="M820" s="241"/>
      <c r="N820" s="178"/>
      <c r="O820" s="242"/>
      <c r="P820" s="243"/>
    </row>
    <row r="821" spans="2:16" ht="12.75">
      <c r="B821" s="238"/>
      <c r="H821" s="155"/>
      <c r="I821" s="239"/>
      <c r="L821" s="240"/>
      <c r="M821" s="241"/>
      <c r="N821" s="178"/>
      <c r="O821" s="242"/>
      <c r="P821" s="243"/>
    </row>
    <row r="822" spans="2:16" ht="12.75">
      <c r="B822" s="238"/>
      <c r="H822" s="155"/>
      <c r="I822" s="239"/>
      <c r="L822" s="240"/>
      <c r="M822" s="241"/>
      <c r="N822" s="178"/>
      <c r="O822" s="242"/>
      <c r="P822" s="243"/>
    </row>
    <row r="823" spans="2:16" ht="12.75">
      <c r="B823" s="238"/>
      <c r="H823" s="155"/>
      <c r="I823" s="239"/>
      <c r="L823" s="240"/>
      <c r="M823" s="241"/>
      <c r="N823" s="178"/>
      <c r="O823" s="242"/>
      <c r="P823" s="243"/>
    </row>
    <row r="824" spans="2:16" ht="12.75">
      <c r="B824" s="238"/>
      <c r="H824" s="155"/>
      <c r="I824" s="239"/>
      <c r="L824" s="240"/>
      <c r="M824" s="241"/>
      <c r="N824" s="178"/>
      <c r="O824" s="242"/>
      <c r="P824" s="243"/>
    </row>
    <row r="825" spans="2:16" ht="12.75">
      <c r="B825" s="238"/>
      <c r="H825" s="155"/>
      <c r="I825" s="239"/>
      <c r="L825" s="240"/>
      <c r="M825" s="241"/>
      <c r="N825" s="178"/>
      <c r="O825" s="242"/>
      <c r="P825" s="243"/>
    </row>
    <row r="826" spans="2:16" ht="12.75">
      <c r="B826" s="238"/>
      <c r="H826" s="155"/>
      <c r="I826" s="239"/>
      <c r="L826" s="240"/>
      <c r="M826" s="241"/>
      <c r="N826" s="178"/>
      <c r="O826" s="242"/>
      <c r="P826" s="243"/>
    </row>
    <row r="827" spans="2:16" ht="12.75">
      <c r="B827" s="238"/>
      <c r="H827" s="155"/>
      <c r="I827" s="239"/>
      <c r="L827" s="240"/>
      <c r="M827" s="241"/>
      <c r="N827" s="178"/>
      <c r="O827" s="242"/>
      <c r="P827" s="243"/>
    </row>
    <row r="828" spans="2:16" ht="12.75">
      <c r="B828" s="238"/>
      <c r="H828" s="155"/>
      <c r="I828" s="239"/>
      <c r="L828" s="240"/>
      <c r="M828" s="241"/>
      <c r="N828" s="178"/>
      <c r="O828" s="242"/>
      <c r="P828" s="243"/>
    </row>
    <row r="829" spans="2:16" ht="12.75">
      <c r="B829" s="238"/>
      <c r="H829" s="155"/>
      <c r="I829" s="239"/>
      <c r="L829" s="240"/>
      <c r="M829" s="241"/>
      <c r="N829" s="178"/>
      <c r="O829" s="242"/>
      <c r="P829" s="243"/>
    </row>
    <row r="830" spans="2:16" ht="12.75">
      <c r="B830" s="238"/>
      <c r="H830" s="155"/>
      <c r="I830" s="239"/>
      <c r="L830" s="240"/>
      <c r="M830" s="241"/>
      <c r="N830" s="178"/>
      <c r="O830" s="242"/>
      <c r="P830" s="243"/>
    </row>
    <row r="831" spans="2:16" ht="12.75">
      <c r="B831" s="238"/>
      <c r="H831" s="155"/>
      <c r="I831" s="239"/>
      <c r="L831" s="240"/>
      <c r="M831" s="241"/>
      <c r="N831" s="178"/>
      <c r="O831" s="242"/>
      <c r="P831" s="243"/>
    </row>
    <row r="832" spans="2:16" ht="12.75">
      <c r="B832" s="238"/>
      <c r="H832" s="155"/>
      <c r="I832" s="239"/>
      <c r="L832" s="240"/>
      <c r="M832" s="241"/>
      <c r="N832" s="178"/>
      <c r="O832" s="242"/>
      <c r="P832" s="243"/>
    </row>
    <row r="833" spans="2:16" ht="12.75">
      <c r="B833" s="238"/>
      <c r="H833" s="155"/>
      <c r="I833" s="239"/>
      <c r="L833" s="240"/>
      <c r="M833" s="241"/>
      <c r="N833" s="178"/>
      <c r="O833" s="242"/>
      <c r="P833" s="243"/>
    </row>
    <row r="834" spans="2:16" ht="12.75">
      <c r="B834" s="238"/>
      <c r="H834" s="155"/>
      <c r="I834" s="239"/>
      <c r="L834" s="240"/>
      <c r="M834" s="241"/>
      <c r="N834" s="178"/>
      <c r="O834" s="242"/>
      <c r="P834" s="243"/>
    </row>
    <row r="835" spans="2:16" ht="12.75">
      <c r="B835" s="238"/>
      <c r="H835" s="155"/>
      <c r="I835" s="239"/>
      <c r="L835" s="240"/>
      <c r="M835" s="241"/>
      <c r="N835" s="178"/>
      <c r="O835" s="242"/>
      <c r="P835" s="243"/>
    </row>
    <row r="836" spans="2:16" ht="12.75">
      <c r="B836" s="238"/>
      <c r="H836" s="155"/>
      <c r="I836" s="239"/>
      <c r="L836" s="240"/>
      <c r="M836" s="241"/>
      <c r="N836" s="178"/>
      <c r="O836" s="242"/>
      <c r="P836" s="243"/>
    </row>
    <row r="837" spans="2:16" ht="12.75">
      <c r="B837" s="238"/>
      <c r="H837" s="155"/>
      <c r="I837" s="239"/>
      <c r="L837" s="240"/>
      <c r="M837" s="241"/>
      <c r="N837" s="178"/>
      <c r="O837" s="242"/>
      <c r="P837" s="243"/>
    </row>
    <row r="838" spans="2:16" ht="12.75">
      <c r="B838" s="238"/>
      <c r="H838" s="155"/>
      <c r="I838" s="239"/>
      <c r="L838" s="240"/>
      <c r="M838" s="241"/>
      <c r="N838" s="178"/>
      <c r="O838" s="242"/>
      <c r="P838" s="243"/>
    </row>
    <row r="839" spans="2:16" ht="12.75">
      <c r="B839" s="238"/>
      <c r="H839" s="155"/>
      <c r="I839" s="239"/>
      <c r="L839" s="240"/>
      <c r="M839" s="241"/>
      <c r="N839" s="178"/>
      <c r="O839" s="242"/>
      <c r="P839" s="243"/>
    </row>
    <row r="840" spans="2:16" ht="12.75">
      <c r="B840" s="238"/>
      <c r="H840" s="155"/>
      <c r="I840" s="239"/>
      <c r="L840" s="240"/>
      <c r="M840" s="241"/>
      <c r="N840" s="178"/>
      <c r="O840" s="242"/>
      <c r="P840" s="243"/>
    </row>
    <row r="841" spans="2:16" ht="12.75">
      <c r="B841" s="238"/>
      <c r="H841" s="155"/>
      <c r="I841" s="239"/>
      <c r="L841" s="240"/>
      <c r="M841" s="241"/>
      <c r="N841" s="178"/>
      <c r="O841" s="242"/>
      <c r="P841" s="243"/>
    </row>
    <row r="842" spans="2:16" ht="12.75">
      <c r="B842" s="238"/>
      <c r="H842" s="155"/>
      <c r="I842" s="239"/>
      <c r="L842" s="240"/>
      <c r="M842" s="241"/>
      <c r="N842" s="178"/>
      <c r="O842" s="242"/>
      <c r="P842" s="243"/>
    </row>
    <row r="843" spans="2:16" ht="12.75">
      <c r="B843" s="238"/>
      <c r="H843" s="155"/>
      <c r="I843" s="239"/>
      <c r="L843" s="240"/>
      <c r="M843" s="241"/>
      <c r="N843" s="178"/>
      <c r="O843" s="242"/>
      <c r="P843" s="243"/>
    </row>
    <row r="844" spans="2:16" ht="12.75">
      <c r="B844" s="238"/>
      <c r="H844" s="155"/>
      <c r="I844" s="239"/>
      <c r="L844" s="240"/>
      <c r="M844" s="241"/>
      <c r="N844" s="178"/>
      <c r="O844" s="242"/>
      <c r="P844" s="243"/>
    </row>
    <row r="845" spans="2:16" ht="12.75">
      <c r="B845" s="238"/>
      <c r="H845" s="155"/>
      <c r="I845" s="239"/>
      <c r="L845" s="240"/>
      <c r="M845" s="241"/>
      <c r="N845" s="178"/>
      <c r="O845" s="242"/>
      <c r="P845" s="243"/>
    </row>
    <row r="846" spans="2:16" ht="12.75">
      <c r="B846" s="238"/>
      <c r="H846" s="155"/>
      <c r="I846" s="239"/>
      <c r="L846" s="240"/>
      <c r="M846" s="241"/>
      <c r="N846" s="178"/>
      <c r="O846" s="242"/>
      <c r="P846" s="243"/>
    </row>
    <row r="847" spans="2:16" ht="12.75">
      <c r="B847" s="238"/>
      <c r="H847" s="155"/>
      <c r="I847" s="239"/>
      <c r="L847" s="240"/>
      <c r="M847" s="241"/>
      <c r="N847" s="178"/>
      <c r="O847" s="242"/>
      <c r="P847" s="243"/>
    </row>
    <row r="848" spans="2:16" ht="12.75">
      <c r="B848" s="238"/>
      <c r="H848" s="155"/>
      <c r="I848" s="239"/>
      <c r="L848" s="240"/>
      <c r="M848" s="241"/>
      <c r="N848" s="178"/>
      <c r="O848" s="242"/>
      <c r="P848" s="243"/>
    </row>
    <row r="849" spans="2:16" ht="12.75">
      <c r="B849" s="238"/>
      <c r="H849" s="155"/>
      <c r="I849" s="239"/>
      <c r="L849" s="240"/>
      <c r="M849" s="241"/>
      <c r="N849" s="178"/>
      <c r="O849" s="242"/>
      <c r="P849" s="243"/>
    </row>
    <row r="850" spans="2:16" ht="12.75">
      <c r="B850" s="238"/>
      <c r="H850" s="155"/>
      <c r="I850" s="239"/>
      <c r="L850" s="240"/>
      <c r="M850" s="241"/>
      <c r="N850" s="178"/>
      <c r="O850" s="242"/>
      <c r="P850" s="243"/>
    </row>
    <row r="851" spans="2:16" ht="12.75">
      <c r="B851" s="238"/>
      <c r="H851" s="155"/>
      <c r="I851" s="239"/>
      <c r="L851" s="240"/>
      <c r="M851" s="241"/>
      <c r="N851" s="178"/>
      <c r="O851" s="242"/>
      <c r="P851" s="243"/>
    </row>
    <row r="852" spans="2:16" ht="12.75">
      <c r="B852" s="238"/>
      <c r="H852" s="155"/>
      <c r="I852" s="239"/>
      <c r="L852" s="240"/>
      <c r="M852" s="241"/>
      <c r="N852" s="178"/>
      <c r="O852" s="242"/>
      <c r="P852" s="243"/>
    </row>
    <row r="853" spans="2:16" ht="12.75">
      <c r="B853" s="238"/>
      <c r="H853" s="155"/>
      <c r="I853" s="239"/>
      <c r="L853" s="240"/>
      <c r="M853" s="241"/>
      <c r="N853" s="178"/>
      <c r="O853" s="242"/>
      <c r="P853" s="243"/>
    </row>
    <row r="854" spans="2:16" ht="12.75">
      <c r="B854" s="238"/>
      <c r="H854" s="155"/>
      <c r="I854" s="239"/>
      <c r="L854" s="240"/>
      <c r="M854" s="241"/>
      <c r="N854" s="178"/>
      <c r="O854" s="242"/>
      <c r="P854" s="243"/>
    </row>
    <row r="855" spans="2:16" ht="12.75">
      <c r="B855" s="238"/>
      <c r="H855" s="155"/>
      <c r="I855" s="239"/>
      <c r="L855" s="240"/>
      <c r="M855" s="241"/>
      <c r="N855" s="178"/>
      <c r="O855" s="242"/>
      <c r="P855" s="243"/>
    </row>
    <row r="856" spans="2:16" ht="12.75">
      <c r="B856" s="238"/>
      <c r="H856" s="155"/>
      <c r="I856" s="239"/>
      <c r="L856" s="240"/>
      <c r="M856" s="241"/>
      <c r="N856" s="178"/>
      <c r="O856" s="242"/>
      <c r="P856" s="243"/>
    </row>
    <row r="857" spans="2:16" ht="12.75">
      <c r="B857" s="238"/>
      <c r="H857" s="155"/>
      <c r="I857" s="239"/>
      <c r="L857" s="240"/>
      <c r="M857" s="241"/>
      <c r="N857" s="178"/>
      <c r="O857" s="242"/>
      <c r="P857" s="243"/>
    </row>
    <row r="858" spans="2:16" ht="12.75">
      <c r="B858" s="238"/>
      <c r="H858" s="155"/>
      <c r="I858" s="239"/>
      <c r="L858" s="240"/>
      <c r="M858" s="241"/>
      <c r="N858" s="178"/>
      <c r="O858" s="242"/>
      <c r="P858" s="243"/>
    </row>
    <row r="859" spans="2:16" ht="12.75">
      <c r="B859" s="238"/>
      <c r="H859" s="155"/>
      <c r="I859" s="239"/>
      <c r="L859" s="240"/>
      <c r="M859" s="241"/>
      <c r="N859" s="178"/>
      <c r="O859" s="242"/>
      <c r="P859" s="243"/>
    </row>
    <row r="860" spans="2:16" ht="12.75">
      <c r="B860" s="238"/>
      <c r="H860" s="155"/>
      <c r="I860" s="239"/>
      <c r="L860" s="240"/>
      <c r="M860" s="241"/>
      <c r="N860" s="178"/>
      <c r="O860" s="242"/>
      <c r="P860" s="243"/>
    </row>
    <row r="861" spans="2:16" ht="12.75">
      <c r="B861" s="238"/>
      <c r="H861" s="155"/>
      <c r="I861" s="239"/>
      <c r="L861" s="240"/>
      <c r="M861" s="241"/>
      <c r="N861" s="178"/>
      <c r="O861" s="242"/>
      <c r="P861" s="243"/>
    </row>
    <row r="862" spans="2:16" ht="12.75">
      <c r="B862" s="238"/>
      <c r="H862" s="155"/>
      <c r="I862" s="239"/>
      <c r="L862" s="240"/>
      <c r="M862" s="241"/>
      <c r="N862" s="178"/>
      <c r="O862" s="242"/>
      <c r="P862" s="243"/>
    </row>
    <row r="863" spans="2:16" ht="12.75">
      <c r="B863" s="238"/>
      <c r="H863" s="155"/>
      <c r="I863" s="239"/>
      <c r="L863" s="240"/>
      <c r="M863" s="241"/>
      <c r="N863" s="178"/>
      <c r="O863" s="242"/>
      <c r="P863" s="243"/>
    </row>
    <row r="864" spans="2:16" ht="12.75">
      <c r="B864" s="238"/>
      <c r="H864" s="155"/>
      <c r="I864" s="239"/>
      <c r="L864" s="240"/>
      <c r="M864" s="241"/>
      <c r="N864" s="178"/>
      <c r="O864" s="242"/>
      <c r="P864" s="243"/>
    </row>
    <row r="865" spans="2:16" ht="12.75">
      <c r="B865" s="238"/>
      <c r="H865" s="155"/>
      <c r="I865" s="239"/>
      <c r="L865" s="240"/>
      <c r="M865" s="241"/>
      <c r="N865" s="178"/>
      <c r="O865" s="242"/>
      <c r="P865" s="243"/>
    </row>
    <row r="866" spans="2:16" ht="12.75">
      <c r="B866" s="238"/>
      <c r="H866" s="155"/>
      <c r="I866" s="239"/>
      <c r="L866" s="240"/>
      <c r="M866" s="241"/>
      <c r="N866" s="178"/>
      <c r="O866" s="242"/>
      <c r="P866" s="243"/>
    </row>
    <row r="867" spans="2:16" ht="12.75">
      <c r="B867" s="238"/>
      <c r="H867" s="155"/>
      <c r="I867" s="239"/>
      <c r="L867" s="240"/>
      <c r="M867" s="241"/>
      <c r="N867" s="178"/>
      <c r="O867" s="242"/>
      <c r="P867" s="243"/>
    </row>
    <row r="868" spans="2:16" ht="12.75">
      <c r="B868" s="238"/>
      <c r="H868" s="155"/>
      <c r="I868" s="239"/>
      <c r="L868" s="240"/>
      <c r="M868" s="241"/>
      <c r="N868" s="178"/>
      <c r="O868" s="242"/>
      <c r="P868" s="243"/>
    </row>
    <row r="869" spans="2:16" ht="12.75">
      <c r="B869" s="238"/>
      <c r="H869" s="155"/>
      <c r="I869" s="239"/>
      <c r="L869" s="240"/>
      <c r="M869" s="241"/>
      <c r="N869" s="178"/>
      <c r="O869" s="242"/>
      <c r="P869" s="243"/>
    </row>
    <row r="870" spans="2:16" ht="12.75">
      <c r="B870" s="238"/>
      <c r="H870" s="155"/>
      <c r="I870" s="239"/>
      <c r="L870" s="240"/>
      <c r="M870" s="241"/>
      <c r="N870" s="178"/>
      <c r="O870" s="242"/>
      <c r="P870" s="243"/>
    </row>
    <row r="871" spans="2:16" ht="12.75">
      <c r="B871" s="238"/>
      <c r="H871" s="155"/>
      <c r="I871" s="239"/>
      <c r="L871" s="240"/>
      <c r="M871" s="241"/>
      <c r="N871" s="178"/>
      <c r="O871" s="242"/>
      <c r="P871" s="243"/>
    </row>
    <row r="872" spans="2:16" ht="12.75">
      <c r="B872" s="238"/>
      <c r="H872" s="155"/>
      <c r="I872" s="239"/>
      <c r="L872" s="240"/>
      <c r="M872" s="241"/>
      <c r="N872" s="178"/>
      <c r="O872" s="242"/>
      <c r="P872" s="243"/>
    </row>
    <row r="873" spans="2:16" ht="12.75">
      <c r="B873" s="238"/>
      <c r="H873" s="155"/>
      <c r="I873" s="239"/>
      <c r="L873" s="240"/>
      <c r="M873" s="241"/>
      <c r="N873" s="178"/>
      <c r="O873" s="242"/>
      <c r="P873" s="243"/>
    </row>
    <row r="874" spans="2:16" ht="12.75">
      <c r="B874" s="238"/>
      <c r="H874" s="155"/>
      <c r="I874" s="239"/>
      <c r="L874" s="240"/>
      <c r="M874" s="241"/>
      <c r="N874" s="178"/>
      <c r="O874" s="242"/>
      <c r="P874" s="243"/>
    </row>
    <row r="875" spans="2:16" ht="12.75">
      <c r="B875" s="238"/>
      <c r="H875" s="155"/>
      <c r="I875" s="239"/>
      <c r="L875" s="240"/>
      <c r="M875" s="241"/>
      <c r="N875" s="178"/>
      <c r="O875" s="242"/>
      <c r="P875" s="243"/>
    </row>
    <row r="876" spans="2:16" ht="12.75">
      <c r="B876" s="238"/>
      <c r="H876" s="155"/>
      <c r="I876" s="239"/>
      <c r="L876" s="240"/>
      <c r="M876" s="241"/>
      <c r="N876" s="178"/>
      <c r="O876" s="242"/>
      <c r="P876" s="243"/>
    </row>
    <row r="877" spans="2:16" ht="12.75">
      <c r="B877" s="238"/>
      <c r="H877" s="155"/>
      <c r="I877" s="239"/>
      <c r="L877" s="240"/>
      <c r="M877" s="241"/>
      <c r="N877" s="178"/>
      <c r="O877" s="242"/>
      <c r="P877" s="243"/>
    </row>
    <row r="878" spans="2:16" ht="12.75">
      <c r="B878" s="238"/>
      <c r="H878" s="155"/>
      <c r="I878" s="239"/>
      <c r="L878" s="240"/>
      <c r="M878" s="241"/>
      <c r="N878" s="178"/>
      <c r="O878" s="242"/>
      <c r="P878" s="243"/>
    </row>
    <row r="879" spans="2:16" ht="12.75">
      <c r="B879" s="238"/>
      <c r="H879" s="155"/>
      <c r="I879" s="239"/>
      <c r="L879" s="240"/>
      <c r="M879" s="241"/>
      <c r="N879" s="178"/>
      <c r="O879" s="242"/>
      <c r="P879" s="243"/>
    </row>
    <row r="880" spans="2:16" ht="12.75">
      <c r="B880" s="238"/>
      <c r="H880" s="155"/>
      <c r="I880" s="239"/>
      <c r="L880" s="240"/>
      <c r="M880" s="241"/>
      <c r="N880" s="178"/>
      <c r="O880" s="242"/>
      <c r="P880" s="243"/>
    </row>
    <row r="881" spans="2:16" ht="12.75">
      <c r="B881" s="238"/>
      <c r="H881" s="155"/>
      <c r="I881" s="239"/>
      <c r="L881" s="240"/>
      <c r="M881" s="241"/>
      <c r="N881" s="178"/>
      <c r="O881" s="242"/>
      <c r="P881" s="243"/>
    </row>
    <row r="882" spans="2:16" ht="12.75">
      <c r="B882" s="238"/>
      <c r="H882" s="155"/>
      <c r="I882" s="239"/>
      <c r="L882" s="240"/>
      <c r="M882" s="241"/>
      <c r="N882" s="178"/>
      <c r="O882" s="242"/>
      <c r="P882" s="243"/>
    </row>
    <row r="883" spans="2:16" ht="12.75">
      <c r="B883" s="238"/>
      <c r="H883" s="155"/>
      <c r="I883" s="239"/>
      <c r="L883" s="240"/>
      <c r="M883" s="241"/>
      <c r="N883" s="178"/>
      <c r="O883" s="242"/>
      <c r="P883" s="243"/>
    </row>
    <row r="884" spans="2:16" ht="12.75">
      <c r="B884" s="238"/>
      <c r="H884" s="155"/>
      <c r="I884" s="239"/>
      <c r="L884" s="240"/>
      <c r="M884" s="241"/>
      <c r="N884" s="178"/>
      <c r="O884" s="242"/>
      <c r="P884" s="243"/>
    </row>
    <row r="885" spans="2:16" ht="12.75">
      <c r="B885" s="238"/>
      <c r="H885" s="155"/>
      <c r="I885" s="239"/>
      <c r="L885" s="240"/>
      <c r="M885" s="241"/>
      <c r="N885" s="178"/>
      <c r="O885" s="242"/>
      <c r="P885" s="243"/>
    </row>
    <row r="886" spans="2:16" ht="12.75">
      <c r="B886" s="238"/>
      <c r="H886" s="155"/>
      <c r="I886" s="239"/>
      <c r="L886" s="240"/>
      <c r="M886" s="241"/>
      <c r="N886" s="178"/>
      <c r="O886" s="242"/>
      <c r="P886" s="243"/>
    </row>
    <row r="887" spans="2:16" ht="12.75">
      <c r="B887" s="238"/>
      <c r="H887" s="155"/>
      <c r="I887" s="239"/>
      <c r="L887" s="240"/>
      <c r="M887" s="241"/>
      <c r="N887" s="178"/>
      <c r="O887" s="242"/>
      <c r="P887" s="243"/>
    </row>
    <row r="888" spans="2:16" ht="12.75">
      <c r="B888" s="238"/>
      <c r="H888" s="155"/>
      <c r="I888" s="239"/>
      <c r="L888" s="240"/>
      <c r="M888" s="241"/>
      <c r="N888" s="178"/>
      <c r="O888" s="242"/>
      <c r="P888" s="243"/>
    </row>
    <row r="889" spans="2:16" ht="12.75">
      <c r="B889" s="238"/>
      <c r="H889" s="155"/>
      <c r="I889" s="239"/>
      <c r="L889" s="240"/>
      <c r="M889" s="241"/>
      <c r="N889" s="178"/>
      <c r="O889" s="242"/>
      <c r="P889" s="243"/>
    </row>
    <row r="890" spans="2:16" ht="12.75">
      <c r="B890" s="238"/>
      <c r="H890" s="155"/>
      <c r="I890" s="239"/>
      <c r="L890" s="240"/>
      <c r="M890" s="241"/>
      <c r="N890" s="178"/>
      <c r="O890" s="242"/>
      <c r="P890" s="243"/>
    </row>
    <row r="891" spans="2:16" ht="12.75">
      <c r="B891" s="238"/>
      <c r="H891" s="155"/>
      <c r="I891" s="239"/>
      <c r="L891" s="240"/>
      <c r="M891" s="241"/>
      <c r="N891" s="178"/>
      <c r="O891" s="242"/>
      <c r="P891" s="243"/>
    </row>
    <row r="892" spans="2:16" ht="12.75">
      <c r="B892" s="238"/>
      <c r="H892" s="155"/>
      <c r="I892" s="239"/>
      <c r="L892" s="240"/>
      <c r="M892" s="241"/>
      <c r="N892" s="178"/>
      <c r="O892" s="242"/>
      <c r="P892" s="243"/>
    </row>
    <row r="893" spans="2:16" ht="12.75">
      <c r="B893" s="238"/>
      <c r="H893" s="155"/>
      <c r="I893" s="239"/>
      <c r="L893" s="240"/>
      <c r="M893" s="241"/>
      <c r="N893" s="178"/>
      <c r="O893" s="242"/>
      <c r="P893" s="243"/>
    </row>
    <row r="894" spans="2:16" ht="12.75">
      <c r="B894" s="238"/>
      <c r="H894" s="155"/>
      <c r="I894" s="239"/>
      <c r="L894" s="240"/>
      <c r="M894" s="241"/>
      <c r="N894" s="178"/>
      <c r="O894" s="242"/>
      <c r="P894" s="243"/>
    </row>
    <row r="895" spans="2:16" ht="12.75">
      <c r="B895" s="238"/>
      <c r="H895" s="155"/>
      <c r="I895" s="239"/>
      <c r="L895" s="240"/>
      <c r="M895" s="241"/>
      <c r="N895" s="178"/>
      <c r="O895" s="242"/>
      <c r="P895" s="243"/>
    </row>
    <row r="896" spans="2:16" ht="12.75">
      <c r="B896" s="238"/>
      <c r="H896" s="155"/>
      <c r="I896" s="239"/>
      <c r="L896" s="240"/>
      <c r="M896" s="241"/>
      <c r="N896" s="178"/>
      <c r="O896" s="242"/>
      <c r="P896" s="243"/>
    </row>
    <row r="897" spans="2:16" ht="12.75">
      <c r="B897" s="238"/>
      <c r="H897" s="155"/>
      <c r="I897" s="239"/>
      <c r="L897" s="240"/>
      <c r="M897" s="241"/>
      <c r="N897" s="178"/>
      <c r="O897" s="242"/>
      <c r="P897" s="243"/>
    </row>
    <row r="898" spans="2:16" ht="12.75">
      <c r="B898" s="238"/>
      <c r="H898" s="155"/>
      <c r="I898" s="239"/>
      <c r="L898" s="240"/>
      <c r="M898" s="241"/>
      <c r="N898" s="178"/>
      <c r="O898" s="242"/>
      <c r="P898" s="243"/>
    </row>
    <row r="899" spans="2:16" ht="12.75">
      <c r="B899" s="238"/>
      <c r="H899" s="155"/>
      <c r="I899" s="239"/>
      <c r="L899" s="240"/>
      <c r="M899" s="241"/>
      <c r="N899" s="178"/>
      <c r="O899" s="242"/>
      <c r="P899" s="243"/>
    </row>
    <row r="900" spans="2:16" ht="12.75">
      <c r="B900" s="238"/>
      <c r="H900" s="155"/>
      <c r="I900" s="239"/>
      <c r="L900" s="240"/>
      <c r="M900" s="241"/>
      <c r="N900" s="178"/>
      <c r="O900" s="242"/>
      <c r="P900" s="243"/>
    </row>
    <row r="901" spans="2:16" ht="12.75">
      <c r="B901" s="238"/>
      <c r="H901" s="155"/>
      <c r="I901" s="239"/>
      <c r="L901" s="240"/>
      <c r="M901" s="241"/>
      <c r="N901" s="178"/>
      <c r="O901" s="242"/>
      <c r="P901" s="243"/>
    </row>
    <row r="902" spans="2:16" ht="12.75">
      <c r="B902" s="238"/>
      <c r="H902" s="155"/>
      <c r="I902" s="239"/>
      <c r="L902" s="240"/>
      <c r="M902" s="241"/>
      <c r="N902" s="178"/>
      <c r="O902" s="242"/>
      <c r="P902" s="243"/>
    </row>
    <row r="903" spans="2:16" ht="12.75">
      <c r="B903" s="238"/>
      <c r="H903" s="155"/>
      <c r="I903" s="239"/>
      <c r="L903" s="240"/>
      <c r="M903" s="241"/>
      <c r="N903" s="178"/>
      <c r="O903" s="242"/>
      <c r="P903" s="243"/>
    </row>
    <row r="904" spans="2:16" ht="12.75">
      <c r="B904" s="238"/>
      <c r="H904" s="155"/>
      <c r="I904" s="239"/>
      <c r="L904" s="240"/>
      <c r="M904" s="241"/>
      <c r="N904" s="178"/>
      <c r="O904" s="242"/>
      <c r="P904" s="243"/>
    </row>
    <row r="905" spans="2:16" ht="12.75">
      <c r="B905" s="238"/>
      <c r="H905" s="155"/>
      <c r="I905" s="239"/>
      <c r="L905" s="240"/>
      <c r="M905" s="241"/>
      <c r="N905" s="178"/>
      <c r="O905" s="242"/>
      <c r="P905" s="243"/>
    </row>
    <row r="906" spans="2:16" ht="12.75">
      <c r="B906" s="238"/>
      <c r="H906" s="155"/>
      <c r="I906" s="239"/>
      <c r="L906" s="240"/>
      <c r="M906" s="241"/>
      <c r="N906" s="178"/>
      <c r="O906" s="242"/>
      <c r="P906" s="243"/>
    </row>
    <row r="907" spans="2:16" ht="12.75">
      <c r="B907" s="238"/>
      <c r="H907" s="155"/>
      <c r="I907" s="239"/>
      <c r="L907" s="240"/>
      <c r="M907" s="241"/>
      <c r="N907" s="178"/>
      <c r="O907" s="242"/>
      <c r="P907" s="243"/>
    </row>
    <row r="908" spans="2:16" ht="12.75">
      <c r="B908" s="238"/>
      <c r="H908" s="155"/>
      <c r="I908" s="239"/>
      <c r="L908" s="240"/>
      <c r="M908" s="241"/>
      <c r="N908" s="178"/>
      <c r="O908" s="242"/>
      <c r="P908" s="243"/>
    </row>
    <row r="909" spans="2:16" ht="12.75">
      <c r="B909" s="238"/>
      <c r="H909" s="155"/>
      <c r="I909" s="239"/>
      <c r="L909" s="240"/>
      <c r="M909" s="241"/>
      <c r="N909" s="178"/>
      <c r="O909" s="242"/>
      <c r="P909" s="243"/>
    </row>
    <row r="910" spans="2:16" ht="12.75">
      <c r="B910" s="238"/>
      <c r="H910" s="155"/>
      <c r="I910" s="239"/>
      <c r="L910" s="240"/>
      <c r="M910" s="241"/>
      <c r="N910" s="178"/>
      <c r="O910" s="242"/>
      <c r="P910" s="243"/>
    </row>
    <row r="911" spans="2:16" ht="12.75">
      <c r="B911" s="238"/>
      <c r="H911" s="155"/>
      <c r="I911" s="239"/>
      <c r="L911" s="240"/>
      <c r="M911" s="241"/>
      <c r="N911" s="178"/>
      <c r="O911" s="242"/>
      <c r="P911" s="243"/>
    </row>
    <row r="912" spans="2:16" ht="12.75">
      <c r="B912" s="238"/>
      <c r="H912" s="155"/>
      <c r="I912" s="239"/>
      <c r="L912" s="240"/>
      <c r="M912" s="241"/>
      <c r="N912" s="178"/>
      <c r="O912" s="242"/>
      <c r="P912" s="243"/>
    </row>
    <row r="913" spans="2:16" ht="12.75">
      <c r="B913" s="238"/>
      <c r="H913" s="155"/>
      <c r="I913" s="239"/>
      <c r="L913" s="240"/>
      <c r="M913" s="241"/>
      <c r="N913" s="178"/>
      <c r="O913" s="242"/>
      <c r="P913" s="243"/>
    </row>
    <row r="914" spans="2:16" ht="12.75">
      <c r="B914" s="238"/>
      <c r="H914" s="155"/>
      <c r="I914" s="239"/>
      <c r="L914" s="240"/>
      <c r="M914" s="241"/>
      <c r="N914" s="178"/>
      <c r="O914" s="242"/>
      <c r="P914" s="243"/>
    </row>
    <row r="915" spans="2:16" ht="12.75">
      <c r="B915" s="238"/>
      <c r="H915" s="155"/>
      <c r="I915" s="239"/>
      <c r="L915" s="240"/>
      <c r="M915" s="241"/>
      <c r="N915" s="178"/>
      <c r="O915" s="242"/>
      <c r="P915" s="243"/>
    </row>
    <row r="916" spans="2:16" ht="12.75">
      <c r="B916" s="238"/>
      <c r="H916" s="155"/>
      <c r="I916" s="239"/>
      <c r="L916" s="240"/>
      <c r="M916" s="241"/>
      <c r="N916" s="178"/>
      <c r="O916" s="242"/>
      <c r="P916" s="243"/>
    </row>
    <row r="917" spans="2:16" ht="12.75">
      <c r="B917" s="238"/>
      <c r="H917" s="155"/>
      <c r="I917" s="239"/>
      <c r="L917" s="240"/>
      <c r="M917" s="241"/>
      <c r="N917" s="178"/>
      <c r="O917" s="242"/>
      <c r="P917" s="243"/>
    </row>
    <row r="918" spans="2:16" ht="12.75">
      <c r="B918" s="238"/>
      <c r="H918" s="155"/>
      <c r="I918" s="239"/>
      <c r="L918" s="240"/>
      <c r="M918" s="241"/>
      <c r="N918" s="178"/>
      <c r="O918" s="242"/>
      <c r="P918" s="243"/>
    </row>
    <row r="919" spans="2:16" ht="12.75">
      <c r="B919" s="238"/>
      <c r="H919" s="155"/>
      <c r="I919" s="239"/>
      <c r="L919" s="240"/>
      <c r="M919" s="241"/>
      <c r="N919" s="178"/>
      <c r="O919" s="242"/>
      <c r="P919" s="243"/>
    </row>
    <row r="920" spans="2:16" ht="12.75">
      <c r="B920" s="238"/>
      <c r="H920" s="155"/>
      <c r="I920" s="239"/>
      <c r="L920" s="240"/>
      <c r="M920" s="241"/>
      <c r="N920" s="178"/>
      <c r="O920" s="242"/>
      <c r="P920" s="243"/>
    </row>
    <row r="921" spans="2:16" ht="12.75">
      <c r="B921" s="238"/>
      <c r="H921" s="155"/>
      <c r="I921" s="239"/>
      <c r="L921" s="240"/>
      <c r="M921" s="241"/>
      <c r="N921" s="178"/>
      <c r="O921" s="242"/>
      <c r="P921" s="243"/>
    </row>
    <row r="922" spans="2:16" ht="12.75">
      <c r="B922" s="238"/>
      <c r="H922" s="155"/>
      <c r="I922" s="239"/>
      <c r="L922" s="240"/>
      <c r="M922" s="241"/>
      <c r="N922" s="178"/>
      <c r="O922" s="242"/>
      <c r="P922" s="243"/>
    </row>
    <row r="923" spans="2:16" ht="12.75">
      <c r="B923" s="238"/>
      <c r="H923" s="155"/>
      <c r="I923" s="239"/>
      <c r="L923" s="240"/>
      <c r="M923" s="241"/>
      <c r="N923" s="178"/>
      <c r="O923" s="242"/>
      <c r="P923" s="243"/>
    </row>
    <row r="924" spans="2:16" ht="12.75">
      <c r="B924" s="238"/>
      <c r="H924" s="155"/>
      <c r="I924" s="239"/>
      <c r="L924" s="240"/>
      <c r="M924" s="241"/>
      <c r="N924" s="178"/>
      <c r="O924" s="242"/>
      <c r="P924" s="243"/>
    </row>
    <row r="925" spans="2:16" ht="12.75">
      <c r="B925" s="238"/>
      <c r="H925" s="155"/>
      <c r="I925" s="239"/>
      <c r="L925" s="240"/>
      <c r="M925" s="241"/>
      <c r="N925" s="178"/>
      <c r="O925" s="242"/>
      <c r="P925" s="243"/>
    </row>
    <row r="926" spans="2:16" ht="12.75">
      <c r="B926" s="238"/>
      <c r="H926" s="155"/>
      <c r="I926" s="239"/>
      <c r="L926" s="240"/>
      <c r="M926" s="241"/>
      <c r="N926" s="178"/>
      <c r="O926" s="242"/>
      <c r="P926" s="243"/>
    </row>
    <row r="927" spans="2:16" ht="12.75">
      <c r="B927" s="238"/>
      <c r="H927" s="155"/>
      <c r="I927" s="239"/>
      <c r="L927" s="240"/>
      <c r="M927" s="241"/>
      <c r="N927" s="178"/>
      <c r="O927" s="242"/>
      <c r="P927" s="243"/>
    </row>
    <row r="928" spans="2:16" ht="12.75">
      <c r="B928" s="238"/>
      <c r="H928" s="155"/>
      <c r="I928" s="239"/>
      <c r="L928" s="240"/>
      <c r="M928" s="241"/>
      <c r="N928" s="178"/>
      <c r="O928" s="242"/>
      <c r="P928" s="243"/>
    </row>
    <row r="929" spans="2:16" ht="12.75">
      <c r="B929" s="238"/>
      <c r="H929" s="155"/>
      <c r="I929" s="239"/>
      <c r="L929" s="240"/>
      <c r="M929" s="241"/>
      <c r="N929" s="178"/>
      <c r="O929" s="242"/>
      <c r="P929" s="243"/>
    </row>
    <row r="930" spans="2:16" ht="12.75">
      <c r="B930" s="238"/>
      <c r="H930" s="155"/>
      <c r="I930" s="239"/>
      <c r="L930" s="240"/>
      <c r="M930" s="241"/>
      <c r="N930" s="178"/>
      <c r="O930" s="242"/>
      <c r="P930" s="243"/>
    </row>
    <row r="931" spans="2:16" ht="12.75">
      <c r="B931" s="238"/>
      <c r="H931" s="155"/>
      <c r="I931" s="239"/>
      <c r="L931" s="240"/>
      <c r="M931" s="241"/>
      <c r="N931" s="178"/>
      <c r="O931" s="242"/>
      <c r="P931" s="243"/>
    </row>
    <row r="932" spans="2:16" ht="12.75">
      <c r="B932" s="238"/>
      <c r="H932" s="155"/>
      <c r="I932" s="239"/>
      <c r="L932" s="240"/>
      <c r="M932" s="241"/>
      <c r="N932" s="178"/>
      <c r="O932" s="242"/>
      <c r="P932" s="243"/>
    </row>
    <row r="933" spans="2:16" ht="12.75">
      <c r="B933" s="238"/>
      <c r="H933" s="155"/>
      <c r="I933" s="239"/>
      <c r="L933" s="240"/>
      <c r="M933" s="241"/>
      <c r="N933" s="178"/>
      <c r="O933" s="242"/>
      <c r="P933" s="243"/>
    </row>
    <row r="934" spans="2:16" ht="12.75">
      <c r="B934" s="238"/>
      <c r="H934" s="155"/>
      <c r="I934" s="239"/>
      <c r="L934" s="240"/>
      <c r="M934" s="241"/>
      <c r="N934" s="178"/>
      <c r="O934" s="242"/>
      <c r="P934" s="243"/>
    </row>
    <row r="935" spans="2:16" ht="12.75">
      <c r="B935" s="238"/>
      <c r="H935" s="155"/>
      <c r="I935" s="239"/>
      <c r="L935" s="240"/>
      <c r="M935" s="241"/>
      <c r="N935" s="178"/>
      <c r="O935" s="242"/>
      <c r="P935" s="243"/>
    </row>
    <row r="936" spans="2:16" ht="12.75">
      <c r="B936" s="238"/>
      <c r="H936" s="155"/>
      <c r="I936" s="239"/>
      <c r="L936" s="240"/>
      <c r="M936" s="241"/>
      <c r="N936" s="178"/>
      <c r="O936" s="242"/>
      <c r="P936" s="243"/>
    </row>
    <row r="937" spans="2:16" ht="12.75">
      <c r="B937" s="238"/>
      <c r="H937" s="155"/>
      <c r="I937" s="239"/>
      <c r="L937" s="240"/>
      <c r="M937" s="241"/>
      <c r="N937" s="178"/>
      <c r="O937" s="242"/>
      <c r="P937" s="243"/>
    </row>
    <row r="938" spans="2:16" ht="12.75">
      <c r="B938" s="238"/>
      <c r="H938" s="155"/>
      <c r="I938" s="239"/>
      <c r="L938" s="240"/>
      <c r="M938" s="241"/>
      <c r="N938" s="178"/>
      <c r="O938" s="242"/>
      <c r="P938" s="243"/>
    </row>
    <row r="939" spans="2:16" ht="12.75">
      <c r="B939" s="238"/>
      <c r="H939" s="155"/>
      <c r="I939" s="239"/>
      <c r="L939" s="240"/>
      <c r="M939" s="241"/>
      <c r="N939" s="178"/>
      <c r="O939" s="242"/>
      <c r="P939" s="243"/>
    </row>
    <row r="940" spans="2:16" ht="12.75">
      <c r="B940" s="238"/>
      <c r="H940" s="155"/>
      <c r="I940" s="239"/>
      <c r="L940" s="240"/>
      <c r="M940" s="241"/>
      <c r="N940" s="178"/>
      <c r="O940" s="242"/>
      <c r="P940" s="243"/>
    </row>
    <row r="941" spans="2:16" ht="12.75">
      <c r="B941" s="238"/>
      <c r="H941" s="155"/>
      <c r="I941" s="239"/>
      <c r="L941" s="240"/>
      <c r="M941" s="241"/>
      <c r="N941" s="178"/>
      <c r="O941" s="242"/>
      <c r="P941" s="243"/>
    </row>
    <row r="942" spans="2:16" ht="12.75">
      <c r="B942" s="238"/>
      <c r="H942" s="155"/>
      <c r="I942" s="239"/>
      <c r="L942" s="240"/>
      <c r="M942" s="241"/>
      <c r="N942" s="178"/>
      <c r="O942" s="242"/>
      <c r="P942" s="243"/>
    </row>
    <row r="943" spans="2:16" ht="12.75">
      <c r="B943" s="238"/>
      <c r="H943" s="155"/>
      <c r="I943" s="239"/>
      <c r="L943" s="240"/>
      <c r="M943" s="241"/>
      <c r="N943" s="178"/>
      <c r="O943" s="242"/>
      <c r="P943" s="243"/>
    </row>
    <row r="944" spans="2:16" ht="12.75">
      <c r="B944" s="238"/>
      <c r="H944" s="155"/>
      <c r="I944" s="239"/>
      <c r="L944" s="240"/>
      <c r="M944" s="241"/>
      <c r="N944" s="178"/>
      <c r="O944" s="242"/>
      <c r="P944" s="243"/>
    </row>
    <row r="945" spans="2:16" ht="12.75">
      <c r="B945" s="238"/>
      <c r="H945" s="155"/>
      <c r="I945" s="239"/>
      <c r="L945" s="240"/>
      <c r="M945" s="241"/>
      <c r="N945" s="178"/>
      <c r="O945" s="242"/>
      <c r="P945" s="243"/>
    </row>
    <row r="946" spans="2:16" ht="12.75">
      <c r="B946" s="238"/>
      <c r="H946" s="155"/>
      <c r="I946" s="239"/>
      <c r="L946" s="240"/>
      <c r="M946" s="241"/>
      <c r="N946" s="178"/>
      <c r="O946" s="242"/>
      <c r="P946" s="243"/>
    </row>
    <row r="947" spans="2:16" ht="12.75">
      <c r="B947" s="238"/>
      <c r="H947" s="155"/>
      <c r="I947" s="239"/>
      <c r="L947" s="240"/>
      <c r="M947" s="241"/>
      <c r="N947" s="178"/>
      <c r="O947" s="242"/>
      <c r="P947" s="243"/>
    </row>
    <row r="948" spans="2:16" ht="12.75">
      <c r="B948" s="238"/>
      <c r="H948" s="155"/>
      <c r="I948" s="239"/>
      <c r="L948" s="240"/>
      <c r="M948" s="241"/>
      <c r="N948" s="178"/>
      <c r="O948" s="242"/>
      <c r="P948" s="243"/>
    </row>
    <row r="949" spans="2:16" ht="12.75">
      <c r="B949" s="238"/>
      <c r="H949" s="155"/>
      <c r="I949" s="239"/>
      <c r="L949" s="240"/>
      <c r="M949" s="241"/>
      <c r="N949" s="178"/>
      <c r="O949" s="242"/>
      <c r="P949" s="243"/>
    </row>
    <row r="950" spans="2:16" ht="12.75">
      <c r="B950" s="238"/>
      <c r="H950" s="155"/>
      <c r="I950" s="239"/>
      <c r="L950" s="240"/>
      <c r="M950" s="241"/>
      <c r="N950" s="178"/>
      <c r="O950" s="242"/>
      <c r="P950" s="243"/>
    </row>
    <row r="951" spans="2:16" ht="12.75">
      <c r="B951" s="238"/>
      <c r="H951" s="155"/>
      <c r="I951" s="239"/>
      <c r="L951" s="240"/>
      <c r="M951" s="241"/>
      <c r="N951" s="178"/>
      <c r="O951" s="242"/>
      <c r="P951" s="243"/>
    </row>
    <row r="952" spans="2:16" ht="12.75">
      <c r="B952" s="238"/>
      <c r="H952" s="155"/>
      <c r="I952" s="239"/>
      <c r="L952" s="240"/>
      <c r="M952" s="241"/>
      <c r="N952" s="178"/>
      <c r="O952" s="242"/>
      <c r="P952" s="243"/>
    </row>
    <row r="953" spans="2:16" ht="12.75">
      <c r="B953" s="238"/>
      <c r="H953" s="155"/>
      <c r="I953" s="239"/>
      <c r="L953" s="240"/>
      <c r="M953" s="241"/>
      <c r="N953" s="178"/>
      <c r="O953" s="242"/>
      <c r="P953" s="243"/>
    </row>
    <row r="954" spans="2:16" ht="12.75">
      <c r="B954" s="238"/>
      <c r="H954" s="155"/>
      <c r="I954" s="239"/>
      <c r="L954" s="240"/>
      <c r="M954" s="241"/>
      <c r="N954" s="178"/>
      <c r="O954" s="242"/>
      <c r="P954" s="243"/>
    </row>
    <row r="955" spans="2:16" ht="12.75">
      <c r="B955" s="238"/>
      <c r="H955" s="155"/>
      <c r="I955" s="239"/>
      <c r="L955" s="240"/>
      <c r="M955" s="241"/>
      <c r="N955" s="178"/>
      <c r="O955" s="242"/>
      <c r="P955" s="243"/>
    </row>
    <row r="956" spans="2:16" ht="12.75">
      <c r="B956" s="238"/>
      <c r="H956" s="155"/>
      <c r="I956" s="239"/>
      <c r="L956" s="240"/>
      <c r="M956" s="241"/>
      <c r="N956" s="178"/>
      <c r="O956" s="242"/>
      <c r="P956" s="243"/>
    </row>
    <row r="957" spans="2:16" ht="12.75">
      <c r="B957" s="238"/>
      <c r="H957" s="155"/>
      <c r="I957" s="239"/>
      <c r="L957" s="240"/>
      <c r="M957" s="241"/>
      <c r="N957" s="178"/>
      <c r="O957" s="242"/>
      <c r="P957" s="243"/>
    </row>
    <row r="958" spans="2:16" ht="12.75">
      <c r="B958" s="238"/>
      <c r="H958" s="155"/>
      <c r="I958" s="239"/>
      <c r="L958" s="240"/>
      <c r="M958" s="241"/>
      <c r="N958" s="178"/>
      <c r="O958" s="242"/>
      <c r="P958" s="243"/>
    </row>
    <row r="959" spans="2:16" ht="12.75">
      <c r="B959" s="238"/>
      <c r="H959" s="155"/>
      <c r="I959" s="239"/>
      <c r="L959" s="240"/>
      <c r="M959" s="241"/>
      <c r="N959" s="178"/>
      <c r="O959" s="242"/>
      <c r="P959" s="243"/>
    </row>
    <row r="960" spans="2:16" ht="12.75">
      <c r="B960" s="238"/>
      <c r="H960" s="155"/>
      <c r="I960" s="239"/>
      <c r="L960" s="240"/>
      <c r="M960" s="241"/>
      <c r="N960" s="178"/>
      <c r="O960" s="242"/>
      <c r="P960" s="243"/>
    </row>
    <row r="961" spans="2:16" ht="12.75">
      <c r="B961" s="238"/>
      <c r="H961" s="155"/>
      <c r="I961" s="239"/>
      <c r="L961" s="240"/>
      <c r="M961" s="241"/>
      <c r="N961" s="178"/>
      <c r="O961" s="242"/>
      <c r="P961" s="243"/>
    </row>
    <row r="962" spans="2:16" ht="12.75">
      <c r="B962" s="238"/>
      <c r="H962" s="155"/>
      <c r="I962" s="239"/>
      <c r="L962" s="240"/>
      <c r="M962" s="241"/>
      <c r="N962" s="178"/>
      <c r="O962" s="242"/>
      <c r="P962" s="243"/>
    </row>
    <row r="963" spans="2:16" ht="12.75">
      <c r="B963" s="238"/>
      <c r="H963" s="155"/>
      <c r="I963" s="239"/>
      <c r="L963" s="240"/>
      <c r="M963" s="241"/>
      <c r="N963" s="178"/>
      <c r="O963" s="242"/>
      <c r="P963" s="243"/>
    </row>
    <row r="964" spans="2:16" ht="12.75">
      <c r="B964" s="238"/>
      <c r="H964" s="155"/>
      <c r="I964" s="239"/>
      <c r="L964" s="240"/>
      <c r="M964" s="241"/>
      <c r="N964" s="178"/>
      <c r="O964" s="242"/>
      <c r="P964" s="243"/>
    </row>
    <row r="965" spans="2:16" ht="12.75">
      <c r="B965" s="238"/>
      <c r="H965" s="155"/>
      <c r="I965" s="239"/>
      <c r="L965" s="240"/>
      <c r="M965" s="241"/>
      <c r="N965" s="178"/>
      <c r="O965" s="242"/>
      <c r="P965" s="243"/>
    </row>
    <row r="966" spans="2:16" ht="12.75">
      <c r="B966" s="238"/>
      <c r="H966" s="155"/>
      <c r="I966" s="239"/>
      <c r="L966" s="240"/>
      <c r="M966" s="241"/>
      <c r="N966" s="178"/>
      <c r="O966" s="242"/>
      <c r="P966" s="243"/>
    </row>
    <row r="967" spans="2:16" ht="12.75">
      <c r="B967" s="238"/>
      <c r="H967" s="155"/>
      <c r="I967" s="239"/>
      <c r="L967" s="240"/>
      <c r="M967" s="241"/>
      <c r="N967" s="178"/>
      <c r="O967" s="242"/>
      <c r="P967" s="243"/>
    </row>
    <row r="968" spans="2:16" ht="12.75">
      <c r="B968" s="238"/>
      <c r="H968" s="155"/>
      <c r="I968" s="239"/>
      <c r="L968" s="240"/>
      <c r="M968" s="241"/>
      <c r="N968" s="178"/>
      <c r="O968" s="242"/>
      <c r="P968" s="243"/>
    </row>
    <row r="969" spans="2:16" ht="12.75">
      <c r="B969" s="238"/>
      <c r="H969" s="155"/>
      <c r="I969" s="239"/>
      <c r="L969" s="240"/>
      <c r="M969" s="241"/>
      <c r="N969" s="178"/>
      <c r="O969" s="242"/>
      <c r="P969" s="243"/>
    </row>
    <row r="970" spans="2:16" ht="12.75">
      <c r="B970" s="238"/>
      <c r="H970" s="155"/>
      <c r="I970" s="239"/>
      <c r="L970" s="240"/>
      <c r="M970" s="241"/>
      <c r="N970" s="178"/>
      <c r="O970" s="242"/>
      <c r="P970" s="243"/>
    </row>
    <row r="971" spans="2:16" ht="12.75">
      <c r="B971" s="238"/>
      <c r="H971" s="155"/>
      <c r="I971" s="239"/>
      <c r="L971" s="240"/>
      <c r="M971" s="241"/>
      <c r="N971" s="178"/>
      <c r="O971" s="242"/>
      <c r="P971" s="243"/>
    </row>
    <row r="972" spans="2:16" ht="12.75">
      <c r="B972" s="238"/>
      <c r="H972" s="155"/>
      <c r="I972" s="239"/>
      <c r="L972" s="240"/>
      <c r="M972" s="241"/>
      <c r="N972" s="178"/>
      <c r="O972" s="242"/>
      <c r="P972" s="243"/>
    </row>
    <row r="973" spans="2:16" ht="12.75">
      <c r="B973" s="238"/>
      <c r="H973" s="155"/>
      <c r="I973" s="239"/>
      <c r="L973" s="240"/>
      <c r="M973" s="241"/>
      <c r="N973" s="178"/>
      <c r="O973" s="242"/>
      <c r="P973" s="243"/>
    </row>
    <row r="974" spans="2:16" ht="12.75">
      <c r="B974" s="238"/>
      <c r="H974" s="155"/>
      <c r="I974" s="239"/>
      <c r="L974" s="240"/>
      <c r="M974" s="241"/>
      <c r="N974" s="178"/>
      <c r="O974" s="242"/>
      <c r="P974" s="243"/>
    </row>
    <row r="975" spans="2:16" ht="12.75">
      <c r="B975" s="238"/>
      <c r="H975" s="155"/>
      <c r="I975" s="239"/>
      <c r="L975" s="240"/>
      <c r="M975" s="241"/>
      <c r="N975" s="178"/>
      <c r="O975" s="242"/>
      <c r="P975" s="243"/>
    </row>
    <row r="976" spans="2:16" ht="12.75">
      <c r="B976" s="238"/>
      <c r="H976" s="155"/>
      <c r="I976" s="239"/>
      <c r="L976" s="240"/>
      <c r="M976" s="241"/>
      <c r="N976" s="178"/>
      <c r="O976" s="242"/>
      <c r="P976" s="243"/>
    </row>
    <row r="977" spans="2:16" ht="12.75">
      <c r="B977" s="238"/>
      <c r="H977" s="155"/>
      <c r="I977" s="239"/>
      <c r="L977" s="240"/>
      <c r="M977" s="241"/>
      <c r="N977" s="178"/>
      <c r="O977" s="242"/>
      <c r="P977" s="243"/>
    </row>
    <row r="978" spans="2:16" ht="12.75">
      <c r="B978" s="238"/>
      <c r="H978" s="155"/>
      <c r="I978" s="239"/>
      <c r="L978" s="240"/>
      <c r="M978" s="241"/>
      <c r="N978" s="178"/>
      <c r="O978" s="242"/>
      <c r="P978" s="243"/>
    </row>
    <row r="979" spans="2:16" ht="12.75">
      <c r="B979" s="238"/>
      <c r="H979" s="155"/>
      <c r="I979" s="239"/>
      <c r="L979" s="240"/>
      <c r="M979" s="241"/>
      <c r="N979" s="178"/>
      <c r="O979" s="242"/>
      <c r="P979" s="243"/>
    </row>
    <row r="980" spans="2:16" ht="12.75">
      <c r="B980" s="238"/>
      <c r="H980" s="155"/>
      <c r="I980" s="239"/>
      <c r="L980" s="240"/>
      <c r="M980" s="241"/>
      <c r="N980" s="178"/>
      <c r="O980" s="242"/>
      <c r="P980" s="243"/>
    </row>
    <row r="981" spans="2:16" ht="12.75">
      <c r="B981" s="238"/>
      <c r="H981" s="155"/>
      <c r="I981" s="239"/>
      <c r="L981" s="240"/>
      <c r="M981" s="241"/>
      <c r="N981" s="178"/>
      <c r="O981" s="242"/>
      <c r="P981" s="243"/>
    </row>
    <row r="982" spans="2:16" ht="12.75">
      <c r="B982" s="238"/>
      <c r="H982" s="155"/>
      <c r="I982" s="239"/>
      <c r="L982" s="240"/>
      <c r="M982" s="241"/>
      <c r="N982" s="178"/>
      <c r="O982" s="242"/>
      <c r="P982" s="243"/>
    </row>
    <row r="983" spans="2:16" ht="12.75">
      <c r="B983" s="238"/>
      <c r="H983" s="155"/>
      <c r="I983" s="239"/>
      <c r="L983" s="240"/>
      <c r="M983" s="241"/>
      <c r="N983" s="178"/>
      <c r="O983" s="242"/>
      <c r="P983" s="243"/>
    </row>
    <row r="984" spans="2:16" ht="12.75">
      <c r="B984" s="238"/>
      <c r="H984" s="155"/>
      <c r="I984" s="239"/>
      <c r="L984" s="240"/>
      <c r="M984" s="241"/>
      <c r="N984" s="178"/>
      <c r="O984" s="242"/>
      <c r="P984" s="243"/>
    </row>
    <row r="985" spans="2:16" ht="12.75">
      <c r="B985" s="238"/>
      <c r="H985" s="155"/>
      <c r="I985" s="239"/>
      <c r="L985" s="240"/>
      <c r="M985" s="241"/>
      <c r="N985" s="178"/>
      <c r="O985" s="242"/>
      <c r="P985" s="243"/>
    </row>
    <row r="986" spans="2:16" ht="12.75">
      <c r="B986" s="238"/>
      <c r="H986" s="155"/>
      <c r="I986" s="239"/>
      <c r="L986" s="240"/>
      <c r="M986" s="241"/>
      <c r="N986" s="178"/>
      <c r="O986" s="242"/>
      <c r="P986" s="243"/>
    </row>
    <row r="987" spans="2:16" ht="12.75">
      <c r="B987" s="238"/>
      <c r="H987" s="155"/>
      <c r="I987" s="239"/>
      <c r="L987" s="240"/>
      <c r="M987" s="241"/>
      <c r="N987" s="178"/>
      <c r="O987" s="242"/>
      <c r="P987" s="243"/>
    </row>
    <row r="988" spans="2:16" ht="12.75">
      <c r="B988" s="238"/>
      <c r="H988" s="155"/>
      <c r="I988" s="239"/>
      <c r="L988" s="240"/>
      <c r="M988" s="241"/>
      <c r="N988" s="178"/>
      <c r="O988" s="242"/>
      <c r="P988" s="243"/>
    </row>
    <row r="989" spans="2:16" ht="12.75">
      <c r="B989" s="238"/>
      <c r="H989" s="155"/>
      <c r="I989" s="239"/>
      <c r="L989" s="240"/>
      <c r="M989" s="241"/>
      <c r="N989" s="178"/>
      <c r="O989" s="242"/>
      <c r="P989" s="243"/>
    </row>
    <row r="990" spans="2:16" ht="12.75">
      <c r="B990" s="238"/>
      <c r="H990" s="155"/>
      <c r="I990" s="239"/>
      <c r="L990" s="240"/>
      <c r="M990" s="241"/>
      <c r="N990" s="178"/>
      <c r="O990" s="242"/>
      <c r="P990" s="243"/>
    </row>
    <row r="991" spans="2:16" ht="12.75">
      <c r="B991" s="238"/>
      <c r="H991" s="155"/>
      <c r="I991" s="239"/>
      <c r="L991" s="240"/>
      <c r="M991" s="241"/>
      <c r="N991" s="178"/>
      <c r="O991" s="242"/>
      <c r="P991" s="243"/>
    </row>
    <row r="992" spans="2:16" ht="12.75">
      <c r="B992" s="238"/>
      <c r="H992" s="155"/>
      <c r="I992" s="239"/>
      <c r="L992" s="240"/>
      <c r="M992" s="241"/>
      <c r="N992" s="178"/>
      <c r="O992" s="242"/>
      <c r="P992" s="243"/>
    </row>
    <row r="993" spans="2:16" ht="12.75">
      <c r="B993" s="238"/>
      <c r="H993" s="155"/>
      <c r="I993" s="239"/>
      <c r="L993" s="240"/>
      <c r="M993" s="241"/>
      <c r="N993" s="178"/>
      <c r="O993" s="242"/>
      <c r="P993" s="243"/>
    </row>
    <row r="994" spans="2:16" ht="12.75">
      <c r="B994" s="238"/>
      <c r="H994" s="155"/>
      <c r="I994" s="239"/>
      <c r="L994" s="240"/>
      <c r="M994" s="241"/>
      <c r="N994" s="178"/>
      <c r="O994" s="242"/>
      <c r="P994" s="243"/>
    </row>
    <row r="995" spans="2:16" ht="12.75">
      <c r="B995" s="238"/>
      <c r="H995" s="155"/>
      <c r="I995" s="239"/>
      <c r="L995" s="240"/>
      <c r="M995" s="241"/>
      <c r="N995" s="178"/>
      <c r="O995" s="242"/>
      <c r="P995" s="243"/>
    </row>
    <row r="996" spans="2:16" ht="12.75">
      <c r="B996" s="238"/>
      <c r="H996" s="155"/>
      <c r="I996" s="239"/>
      <c r="L996" s="240"/>
      <c r="M996" s="241"/>
      <c r="N996" s="178"/>
      <c r="O996" s="242"/>
      <c r="P996" s="243"/>
    </row>
    <row r="997" spans="2:16" ht="12.75">
      <c r="B997" s="238"/>
      <c r="H997" s="155"/>
      <c r="I997" s="239"/>
      <c r="L997" s="240"/>
      <c r="M997" s="241"/>
      <c r="N997" s="178"/>
      <c r="O997" s="242"/>
      <c r="P997" s="243"/>
    </row>
    <row r="998" spans="2:16" ht="12.75">
      <c r="B998" s="238"/>
      <c r="H998" s="155"/>
      <c r="I998" s="239"/>
      <c r="L998" s="240"/>
      <c r="M998" s="241"/>
      <c r="N998" s="178"/>
      <c r="O998" s="242"/>
      <c r="P998" s="243"/>
    </row>
    <row r="999" spans="2:16" ht="12.75">
      <c r="B999" s="238"/>
      <c r="H999" s="155"/>
      <c r="I999" s="239"/>
      <c r="L999" s="240"/>
      <c r="M999" s="241"/>
      <c r="N999" s="178"/>
      <c r="O999" s="242"/>
      <c r="P999" s="243"/>
    </row>
  </sheetData>
  <autoFilter ref="A1:P286"/>
  <mergeCells count="3">
    <mergeCell ref="L1:P1"/>
    <mergeCell ref="B147:H147"/>
    <mergeCell ref="B182:G18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99"/>
  <sheetViews>
    <sheetView workbookViewId="0"/>
  </sheetViews>
  <sheetFormatPr defaultColWidth="12.5703125" defaultRowHeight="15.75" customHeight="1"/>
  <cols>
    <col min="1" max="1" width="5.7109375" customWidth="1"/>
    <col min="2" max="2" width="35.7109375" customWidth="1"/>
    <col min="3" max="3" width="6.42578125" customWidth="1"/>
    <col min="4" max="4" width="18.85546875" customWidth="1"/>
    <col min="5" max="5" width="7.5703125" customWidth="1"/>
    <col min="6" max="6" width="8.28515625" customWidth="1"/>
    <col min="7" max="7" width="11.42578125" customWidth="1"/>
    <col min="8" max="8" width="5.5703125" customWidth="1"/>
    <col min="9" max="9" width="7.28515625" customWidth="1"/>
    <col min="10" max="10" width="4.5703125" customWidth="1"/>
    <col min="11" max="11" width="7.42578125" hidden="1" customWidth="1"/>
    <col min="12" max="12" width="7.85546875" customWidth="1"/>
    <col min="13" max="13" width="7.7109375" customWidth="1"/>
    <col min="14" max="14" width="10.85546875" customWidth="1"/>
    <col min="15" max="15" width="4" customWidth="1"/>
    <col min="16" max="16" width="8.140625" customWidth="1"/>
  </cols>
  <sheetData>
    <row r="1" spans="1:16" ht="18">
      <c r="A1" s="1" t="s">
        <v>0</v>
      </c>
      <c r="B1" s="2"/>
      <c r="C1" s="3"/>
      <c r="D1" s="4"/>
      <c r="E1" s="5"/>
      <c r="F1" s="3"/>
      <c r="G1" s="6"/>
      <c r="H1" s="7"/>
      <c r="I1" s="7"/>
      <c r="J1" s="8" t="s">
        <v>1</v>
      </c>
      <c r="K1" s="8"/>
      <c r="L1" s="253" t="s">
        <v>352</v>
      </c>
      <c r="M1" s="254"/>
      <c r="N1" s="254"/>
      <c r="O1" s="254"/>
      <c r="P1" s="254"/>
    </row>
    <row r="2" spans="1:16" ht="51">
      <c r="A2" s="9" t="s">
        <v>3</v>
      </c>
      <c r="B2" s="10" t="s">
        <v>4</v>
      </c>
      <c r="C2" s="11" t="s">
        <v>5</v>
      </c>
      <c r="D2" s="12" t="s">
        <v>6</v>
      </c>
      <c r="E2" s="13" t="s">
        <v>7</v>
      </c>
      <c r="F2" s="11" t="s">
        <v>8</v>
      </c>
      <c r="G2" s="11" t="s">
        <v>9</v>
      </c>
      <c r="H2" s="14" t="s">
        <v>10</v>
      </c>
      <c r="I2" s="15" t="s">
        <v>11</v>
      </c>
      <c r="J2" s="16" t="s">
        <v>12</v>
      </c>
      <c r="K2" s="16" t="s">
        <v>13</v>
      </c>
      <c r="L2" s="17" t="s">
        <v>14</v>
      </c>
      <c r="M2" s="18" t="s">
        <v>15</v>
      </c>
      <c r="N2" s="19" t="s">
        <v>16</v>
      </c>
      <c r="O2" s="20" t="s">
        <v>17</v>
      </c>
      <c r="P2" s="21" t="s">
        <v>18</v>
      </c>
    </row>
    <row r="3" spans="1:16" ht="28.5">
      <c r="A3" s="22">
        <v>1</v>
      </c>
      <c r="B3" s="23" t="s">
        <v>19</v>
      </c>
      <c r="C3" s="24" t="s">
        <v>20</v>
      </c>
      <c r="D3" s="25" t="s">
        <v>21</v>
      </c>
      <c r="E3" s="26">
        <v>46082</v>
      </c>
      <c r="F3" s="27">
        <v>66.849999999999994</v>
      </c>
      <c r="G3" s="28">
        <f t="shared" ref="G3:G4" si="0">F3*H3</f>
        <v>200.54999999999998</v>
      </c>
      <c r="H3" s="29">
        <v>3</v>
      </c>
      <c r="I3" s="30">
        <v>24</v>
      </c>
      <c r="J3" s="31"/>
      <c r="K3" s="32"/>
      <c r="L3" s="33">
        <v>0</v>
      </c>
      <c r="M3" s="34">
        <v>20</v>
      </c>
      <c r="N3" s="35">
        <v>4</v>
      </c>
      <c r="O3" s="36"/>
      <c r="P3" s="37">
        <f t="shared" ref="P3:P107" si="1">L3+M3+N3</f>
        <v>24</v>
      </c>
    </row>
    <row r="4" spans="1:16" ht="28.5">
      <c r="A4" s="38">
        <v>2</v>
      </c>
      <c r="B4" s="39" t="s">
        <v>22</v>
      </c>
      <c r="C4" s="40" t="s">
        <v>23</v>
      </c>
      <c r="D4" s="41" t="s">
        <v>24</v>
      </c>
      <c r="E4" s="26">
        <v>46143</v>
      </c>
      <c r="F4" s="27">
        <v>25.44</v>
      </c>
      <c r="G4" s="28">
        <f t="shared" si="0"/>
        <v>101.76</v>
      </c>
      <c r="H4" s="29">
        <v>4</v>
      </c>
      <c r="I4" s="30"/>
      <c r="J4" s="31"/>
      <c r="K4" s="32"/>
      <c r="L4" s="33">
        <v>0</v>
      </c>
      <c r="M4" s="42">
        <v>2</v>
      </c>
      <c r="N4" s="43">
        <v>2</v>
      </c>
      <c r="O4" s="36"/>
      <c r="P4" s="37">
        <f t="shared" si="1"/>
        <v>4</v>
      </c>
    </row>
    <row r="5" spans="1:16" ht="28.5">
      <c r="A5" s="22">
        <v>3</v>
      </c>
      <c r="B5" s="39" t="s">
        <v>22</v>
      </c>
      <c r="C5" s="40" t="s">
        <v>23</v>
      </c>
      <c r="D5" s="41" t="s">
        <v>25</v>
      </c>
      <c r="E5" s="44">
        <v>46539</v>
      </c>
      <c r="F5" s="27">
        <v>42.18</v>
      </c>
      <c r="G5" s="28">
        <f>F5*H5-0.02</f>
        <v>1265.3800000000001</v>
      </c>
      <c r="H5" s="29">
        <v>30</v>
      </c>
      <c r="I5" s="30"/>
      <c r="J5" s="31"/>
      <c r="K5" s="32"/>
      <c r="L5" s="45">
        <v>30</v>
      </c>
      <c r="M5" s="34"/>
      <c r="N5" s="43"/>
      <c r="O5" s="36"/>
      <c r="P5" s="37">
        <f t="shared" si="1"/>
        <v>30</v>
      </c>
    </row>
    <row r="6" spans="1:16" ht="28.5">
      <c r="A6" s="22">
        <v>4</v>
      </c>
      <c r="B6" s="39" t="s">
        <v>22</v>
      </c>
      <c r="C6" s="40" t="s">
        <v>23</v>
      </c>
      <c r="D6" s="41" t="s">
        <v>26</v>
      </c>
      <c r="E6" s="26">
        <v>46447</v>
      </c>
      <c r="F6" s="27">
        <v>31.45</v>
      </c>
      <c r="G6" s="28">
        <f>F6*H6-0.05</f>
        <v>628.95000000000005</v>
      </c>
      <c r="H6" s="29">
        <v>20</v>
      </c>
      <c r="I6" s="30"/>
      <c r="J6" s="31"/>
      <c r="K6" s="32"/>
      <c r="L6" s="45">
        <v>20</v>
      </c>
      <c r="M6" s="34"/>
      <c r="N6" s="43"/>
      <c r="O6" s="36"/>
      <c r="P6" s="37">
        <f t="shared" si="1"/>
        <v>20</v>
      </c>
    </row>
    <row r="7" spans="1:16" ht="28.5">
      <c r="A7" s="22">
        <v>5</v>
      </c>
      <c r="B7" s="39" t="s">
        <v>27</v>
      </c>
      <c r="C7" s="40" t="s">
        <v>28</v>
      </c>
      <c r="D7" s="41" t="s">
        <v>29</v>
      </c>
      <c r="E7" s="44">
        <v>46023</v>
      </c>
      <c r="F7" s="27">
        <v>32.185000000000002</v>
      </c>
      <c r="G7" s="28">
        <f t="shared" ref="G7:G10" si="2">F7*H7</f>
        <v>225.29500000000002</v>
      </c>
      <c r="H7" s="29">
        <v>7</v>
      </c>
      <c r="I7" s="30">
        <v>69</v>
      </c>
      <c r="J7" s="31"/>
      <c r="K7" s="32"/>
      <c r="L7" s="45">
        <f>80-40-10-10</f>
        <v>20</v>
      </c>
      <c r="M7" s="34">
        <v>31</v>
      </c>
      <c r="N7" s="35">
        <v>18</v>
      </c>
      <c r="O7" s="36"/>
      <c r="P7" s="37">
        <f t="shared" si="1"/>
        <v>69</v>
      </c>
    </row>
    <row r="8" spans="1:16" ht="14.25">
      <c r="A8" s="22">
        <v>6</v>
      </c>
      <c r="B8" s="39" t="s">
        <v>30</v>
      </c>
      <c r="C8" s="40" t="s">
        <v>28</v>
      </c>
      <c r="D8" s="41" t="s">
        <v>31</v>
      </c>
      <c r="E8" s="44">
        <v>45992</v>
      </c>
      <c r="F8" s="27">
        <v>63.58</v>
      </c>
      <c r="G8" s="28">
        <f t="shared" si="2"/>
        <v>699.38</v>
      </c>
      <c r="H8" s="29">
        <v>11</v>
      </c>
      <c r="I8" s="30">
        <v>550</v>
      </c>
      <c r="J8" s="31"/>
      <c r="K8" s="32"/>
      <c r="L8" s="45">
        <v>0</v>
      </c>
      <c r="M8" s="34">
        <v>550</v>
      </c>
      <c r="N8" s="35"/>
      <c r="O8" s="36"/>
      <c r="P8" s="37">
        <f t="shared" si="1"/>
        <v>550</v>
      </c>
    </row>
    <row r="9" spans="1:16" ht="14.25">
      <c r="A9" s="22">
        <v>7</v>
      </c>
      <c r="B9" s="39" t="s">
        <v>32</v>
      </c>
      <c r="C9" s="40" t="s">
        <v>20</v>
      </c>
      <c r="D9" s="41" t="s">
        <v>33</v>
      </c>
      <c r="E9" s="26">
        <v>46266</v>
      </c>
      <c r="F9" s="27">
        <v>46.16</v>
      </c>
      <c r="G9" s="28">
        <f t="shared" si="2"/>
        <v>369.28</v>
      </c>
      <c r="H9" s="29">
        <v>8</v>
      </c>
      <c r="I9" s="30">
        <v>201</v>
      </c>
      <c r="J9" s="32"/>
      <c r="K9" s="32"/>
      <c r="L9" s="45">
        <f>5*28</f>
        <v>140</v>
      </c>
      <c r="M9" s="34">
        <v>33</v>
      </c>
      <c r="N9" s="43">
        <v>28</v>
      </c>
      <c r="O9" s="36"/>
      <c r="P9" s="37">
        <f t="shared" si="1"/>
        <v>201</v>
      </c>
    </row>
    <row r="10" spans="1:16" ht="14.25">
      <c r="A10" s="22">
        <v>8</v>
      </c>
      <c r="B10" s="39" t="s">
        <v>34</v>
      </c>
      <c r="C10" s="40" t="s">
        <v>23</v>
      </c>
      <c r="D10" s="41" t="s">
        <v>35</v>
      </c>
      <c r="E10" s="26">
        <v>46692</v>
      </c>
      <c r="F10" s="46">
        <v>13.942</v>
      </c>
      <c r="G10" s="28">
        <f t="shared" si="2"/>
        <v>13.942</v>
      </c>
      <c r="H10" s="29">
        <v>1</v>
      </c>
      <c r="I10" s="30"/>
      <c r="J10" s="31"/>
      <c r="K10" s="31"/>
      <c r="L10" s="45">
        <v>0</v>
      </c>
      <c r="M10" s="34"/>
      <c r="N10" s="43">
        <v>1</v>
      </c>
      <c r="O10" s="36"/>
      <c r="P10" s="37">
        <f t="shared" si="1"/>
        <v>1</v>
      </c>
    </row>
    <row r="11" spans="1:16" ht="14.25">
      <c r="A11" s="22">
        <v>9</v>
      </c>
      <c r="B11" s="39" t="s">
        <v>36</v>
      </c>
      <c r="C11" s="40" t="s">
        <v>20</v>
      </c>
      <c r="D11" s="41" t="s">
        <v>37</v>
      </c>
      <c r="E11" s="26">
        <v>46600</v>
      </c>
      <c r="F11" s="46">
        <v>27.55</v>
      </c>
      <c r="G11" s="28">
        <f>F11*H11+0.04</f>
        <v>413.29</v>
      </c>
      <c r="H11" s="29">
        <v>15</v>
      </c>
      <c r="I11" s="30">
        <v>150</v>
      </c>
      <c r="J11" s="31"/>
      <c r="K11" s="47"/>
      <c r="L11" s="45">
        <v>150</v>
      </c>
      <c r="M11" s="34"/>
      <c r="N11" s="43"/>
      <c r="O11" s="36"/>
      <c r="P11" s="37">
        <f t="shared" si="1"/>
        <v>150</v>
      </c>
    </row>
    <row r="12" spans="1:16" ht="28.5">
      <c r="A12" s="22">
        <v>10</v>
      </c>
      <c r="B12" s="39" t="s">
        <v>38</v>
      </c>
      <c r="C12" s="40" t="s">
        <v>20</v>
      </c>
      <c r="D12" s="41" t="s">
        <v>29</v>
      </c>
      <c r="E12" s="26">
        <v>46784</v>
      </c>
      <c r="F12" s="46">
        <v>26.39</v>
      </c>
      <c r="G12" s="28">
        <f>F12*H12</f>
        <v>5278</v>
      </c>
      <c r="H12" s="29">
        <v>200</v>
      </c>
      <c r="I12" s="30"/>
      <c r="J12" s="31"/>
      <c r="K12" s="47"/>
      <c r="L12" s="45">
        <f>200</f>
        <v>200</v>
      </c>
      <c r="M12" s="34"/>
      <c r="N12" s="43"/>
      <c r="O12" s="36"/>
      <c r="P12" s="37">
        <f t="shared" si="1"/>
        <v>200</v>
      </c>
    </row>
    <row r="13" spans="1:16" ht="14.25">
      <c r="A13" s="22">
        <v>11</v>
      </c>
      <c r="B13" s="39" t="s">
        <v>39</v>
      </c>
      <c r="C13" s="40" t="s">
        <v>20</v>
      </c>
      <c r="D13" s="41" t="s">
        <v>40</v>
      </c>
      <c r="E13" s="44">
        <v>47665</v>
      </c>
      <c r="F13" s="27">
        <v>152.94999999999999</v>
      </c>
      <c r="G13" s="28">
        <f>F13*H13-0.06</f>
        <v>2294.19</v>
      </c>
      <c r="H13" s="29">
        <v>15</v>
      </c>
      <c r="I13" s="30">
        <v>300</v>
      </c>
      <c r="J13" s="31"/>
      <c r="K13" s="31"/>
      <c r="L13" s="45">
        <v>300</v>
      </c>
      <c r="M13" s="34"/>
      <c r="N13" s="43"/>
      <c r="O13" s="36"/>
      <c r="P13" s="37">
        <f t="shared" si="1"/>
        <v>300</v>
      </c>
    </row>
    <row r="14" spans="1:16" ht="14.25">
      <c r="A14" s="22">
        <v>12</v>
      </c>
      <c r="B14" s="39" t="s">
        <v>41</v>
      </c>
      <c r="C14" s="40" t="s">
        <v>20</v>
      </c>
      <c r="D14" s="41" t="s">
        <v>37</v>
      </c>
      <c r="E14" s="44">
        <v>47665</v>
      </c>
      <c r="F14" s="27">
        <v>185.31</v>
      </c>
      <c r="G14" s="28">
        <f>F14*H14+0.07</f>
        <v>3706.27</v>
      </c>
      <c r="H14" s="29">
        <v>20</v>
      </c>
      <c r="I14" s="30">
        <v>200</v>
      </c>
      <c r="J14" s="31"/>
      <c r="K14" s="31"/>
      <c r="L14" s="45">
        <v>200</v>
      </c>
      <c r="M14" s="34"/>
      <c r="N14" s="43"/>
      <c r="O14" s="36"/>
      <c r="P14" s="37">
        <f t="shared" si="1"/>
        <v>200</v>
      </c>
    </row>
    <row r="15" spans="1:16" ht="28.5">
      <c r="A15" s="22">
        <v>13</v>
      </c>
      <c r="B15" s="39" t="s">
        <v>42</v>
      </c>
      <c r="C15" s="40" t="s">
        <v>43</v>
      </c>
      <c r="D15" s="41" t="s">
        <v>44</v>
      </c>
      <c r="E15" s="44">
        <v>45962</v>
      </c>
      <c r="F15" s="27">
        <v>19.53</v>
      </c>
      <c r="G15" s="48">
        <f t="shared" ref="G15:G21" si="3">F15*H15</f>
        <v>39.06</v>
      </c>
      <c r="H15" s="29">
        <v>2</v>
      </c>
      <c r="I15" s="30"/>
      <c r="J15" s="31"/>
      <c r="K15" s="31"/>
      <c r="L15" s="45">
        <v>0</v>
      </c>
      <c r="M15" s="34">
        <v>2</v>
      </c>
      <c r="N15" s="43">
        <v>0</v>
      </c>
      <c r="O15" s="36"/>
      <c r="P15" s="37">
        <f t="shared" si="1"/>
        <v>2</v>
      </c>
    </row>
    <row r="16" spans="1:16" ht="28.5">
      <c r="A16" s="22">
        <v>14</v>
      </c>
      <c r="B16" s="49" t="s">
        <v>42</v>
      </c>
      <c r="C16" s="40" t="s">
        <v>43</v>
      </c>
      <c r="D16" s="41" t="s">
        <v>44</v>
      </c>
      <c r="E16" s="44">
        <v>45962</v>
      </c>
      <c r="F16" s="27">
        <v>19.53</v>
      </c>
      <c r="G16" s="48">
        <f t="shared" si="3"/>
        <v>19.53</v>
      </c>
      <c r="H16" s="29">
        <v>1</v>
      </c>
      <c r="I16" s="30"/>
      <c r="J16" s="31"/>
      <c r="K16" s="31"/>
      <c r="L16" s="45">
        <v>0</v>
      </c>
      <c r="M16" s="34">
        <v>1</v>
      </c>
      <c r="N16" s="43"/>
      <c r="O16" s="36"/>
      <c r="P16" s="37">
        <f t="shared" si="1"/>
        <v>1</v>
      </c>
    </row>
    <row r="17" spans="1:16" ht="14.25">
      <c r="A17" s="22">
        <v>15</v>
      </c>
      <c r="B17" s="50" t="s">
        <v>45</v>
      </c>
      <c r="C17" s="51" t="s">
        <v>43</v>
      </c>
      <c r="D17" s="41" t="s">
        <v>44</v>
      </c>
      <c r="E17" s="26">
        <v>46447</v>
      </c>
      <c r="F17" s="46">
        <v>22</v>
      </c>
      <c r="G17" s="28">
        <f t="shared" si="3"/>
        <v>66</v>
      </c>
      <c r="H17" s="29">
        <v>3</v>
      </c>
      <c r="I17" s="30"/>
      <c r="J17" s="31"/>
      <c r="K17" s="31"/>
      <c r="L17" s="45">
        <v>0</v>
      </c>
      <c r="M17" s="34">
        <v>2</v>
      </c>
      <c r="N17" s="35">
        <v>1</v>
      </c>
      <c r="O17" s="36"/>
      <c r="P17" s="37">
        <f t="shared" si="1"/>
        <v>3</v>
      </c>
    </row>
    <row r="18" spans="1:16" ht="14.25">
      <c r="A18" s="38">
        <v>16</v>
      </c>
      <c r="B18" s="52" t="s">
        <v>45</v>
      </c>
      <c r="C18" s="51" t="s">
        <v>43</v>
      </c>
      <c r="D18" s="41" t="s">
        <v>44</v>
      </c>
      <c r="E18" s="26">
        <v>46447</v>
      </c>
      <c r="F18" s="46">
        <v>22</v>
      </c>
      <c r="G18" s="28">
        <f t="shared" si="3"/>
        <v>22</v>
      </c>
      <c r="H18" s="29">
        <v>1</v>
      </c>
      <c r="I18" s="30"/>
      <c r="J18" s="31"/>
      <c r="K18" s="31"/>
      <c r="L18" s="45">
        <v>0</v>
      </c>
      <c r="M18" s="34">
        <v>0</v>
      </c>
      <c r="N18" s="35">
        <v>1</v>
      </c>
      <c r="O18" s="36"/>
      <c r="P18" s="37">
        <f t="shared" si="1"/>
        <v>1</v>
      </c>
    </row>
    <row r="19" spans="1:16" ht="28.5">
      <c r="A19" s="22">
        <v>17</v>
      </c>
      <c r="B19" s="53" t="s">
        <v>46</v>
      </c>
      <c r="C19" s="51" t="s">
        <v>47</v>
      </c>
      <c r="D19" s="41" t="s">
        <v>48</v>
      </c>
      <c r="E19" s="26">
        <v>47119</v>
      </c>
      <c r="F19" s="27">
        <v>7.5330000000000004</v>
      </c>
      <c r="G19" s="28">
        <f t="shared" si="3"/>
        <v>150.66</v>
      </c>
      <c r="H19" s="29">
        <v>20</v>
      </c>
      <c r="I19" s="30"/>
      <c r="J19" s="31"/>
      <c r="K19" s="31"/>
      <c r="L19" s="45">
        <v>0</v>
      </c>
      <c r="M19" s="34">
        <v>20</v>
      </c>
      <c r="N19" s="35"/>
      <c r="O19" s="36"/>
      <c r="P19" s="37">
        <f t="shared" si="1"/>
        <v>20</v>
      </c>
    </row>
    <row r="20" spans="1:16" ht="28.5">
      <c r="A20" s="22">
        <v>18</v>
      </c>
      <c r="B20" s="53" t="s">
        <v>49</v>
      </c>
      <c r="C20" s="51" t="s">
        <v>47</v>
      </c>
      <c r="D20" s="41" t="s">
        <v>37</v>
      </c>
      <c r="E20" s="26">
        <v>47484</v>
      </c>
      <c r="F20" s="27">
        <v>70.14</v>
      </c>
      <c r="G20" s="28">
        <f t="shared" si="3"/>
        <v>210.42000000000002</v>
      </c>
      <c r="H20" s="29">
        <v>3</v>
      </c>
      <c r="I20" s="30">
        <v>30</v>
      </c>
      <c r="J20" s="31"/>
      <c r="K20" s="31"/>
      <c r="L20" s="45">
        <v>30</v>
      </c>
      <c r="M20" s="34"/>
      <c r="N20" s="35"/>
      <c r="O20" s="36"/>
      <c r="P20" s="37">
        <f t="shared" si="1"/>
        <v>30</v>
      </c>
    </row>
    <row r="21" spans="1:16" ht="28.5">
      <c r="A21" s="22">
        <v>19</v>
      </c>
      <c r="B21" s="54" t="s">
        <v>50</v>
      </c>
      <c r="C21" s="40" t="s">
        <v>20</v>
      </c>
      <c r="D21" s="41" t="s">
        <v>51</v>
      </c>
      <c r="E21" s="26">
        <v>46447</v>
      </c>
      <c r="F21" s="27">
        <v>17.3</v>
      </c>
      <c r="G21" s="28">
        <f t="shared" si="3"/>
        <v>2577.7000000000003</v>
      </c>
      <c r="H21" s="29">
        <v>149</v>
      </c>
      <c r="I21" s="30">
        <v>743</v>
      </c>
      <c r="J21" s="31"/>
      <c r="K21" s="31"/>
      <c r="L21" s="45">
        <f>44*5</f>
        <v>220</v>
      </c>
      <c r="M21" s="42">
        <v>133</v>
      </c>
      <c r="N21" s="35">
        <v>390</v>
      </c>
      <c r="O21" s="36"/>
      <c r="P21" s="37">
        <f t="shared" si="1"/>
        <v>743</v>
      </c>
    </row>
    <row r="22" spans="1:16" ht="14.25">
      <c r="A22" s="38">
        <v>20</v>
      </c>
      <c r="B22" s="39" t="s">
        <v>52</v>
      </c>
      <c r="C22" s="40" t="s">
        <v>20</v>
      </c>
      <c r="D22" s="41" t="s">
        <v>53</v>
      </c>
      <c r="E22" s="26">
        <v>46419</v>
      </c>
      <c r="F22" s="27">
        <v>21.914000000000001</v>
      </c>
      <c r="G22" s="28">
        <f t="shared" ref="G22:G23" si="4">F22*H22-0.01</f>
        <v>43.818000000000005</v>
      </c>
      <c r="H22" s="29">
        <v>2</v>
      </c>
      <c r="I22" s="30">
        <v>20</v>
      </c>
      <c r="J22" s="31"/>
      <c r="K22" s="31"/>
      <c r="L22" s="45">
        <f>2*10</f>
        <v>20</v>
      </c>
      <c r="M22" s="34"/>
      <c r="N22" s="35"/>
      <c r="O22" s="36"/>
      <c r="P22" s="37">
        <f t="shared" si="1"/>
        <v>20</v>
      </c>
    </row>
    <row r="23" spans="1:16" ht="14.25">
      <c r="A23" s="22">
        <v>21</v>
      </c>
      <c r="B23" s="49" t="s">
        <v>52</v>
      </c>
      <c r="C23" s="40" t="s">
        <v>20</v>
      </c>
      <c r="D23" s="41" t="s">
        <v>53</v>
      </c>
      <c r="E23" s="26">
        <v>46419</v>
      </c>
      <c r="F23" s="27">
        <v>21.914000000000001</v>
      </c>
      <c r="G23" s="28">
        <f t="shared" si="4"/>
        <v>109.56</v>
      </c>
      <c r="H23" s="29">
        <v>5</v>
      </c>
      <c r="I23" s="30">
        <v>44</v>
      </c>
      <c r="J23" s="31"/>
      <c r="K23" s="31"/>
      <c r="L23" s="45">
        <v>0</v>
      </c>
      <c r="M23" s="34">
        <v>0</v>
      </c>
      <c r="N23" s="35">
        <v>44</v>
      </c>
      <c r="O23" s="36"/>
      <c r="P23" s="37">
        <f t="shared" si="1"/>
        <v>44</v>
      </c>
    </row>
    <row r="24" spans="1:16" ht="28.5">
      <c r="A24" s="22">
        <v>22</v>
      </c>
      <c r="B24" s="54" t="s">
        <v>54</v>
      </c>
      <c r="C24" s="40" t="s">
        <v>20</v>
      </c>
      <c r="D24" s="41" t="s">
        <v>53</v>
      </c>
      <c r="E24" s="26">
        <v>46722</v>
      </c>
      <c r="F24" s="27">
        <v>27.07</v>
      </c>
      <c r="G24" s="28">
        <f t="shared" ref="G24:G27" si="5">F24*H24</f>
        <v>270.7</v>
      </c>
      <c r="H24" s="29">
        <v>10</v>
      </c>
      <c r="I24" s="30">
        <v>100</v>
      </c>
      <c r="J24" s="31"/>
      <c r="K24" s="31"/>
      <c r="L24" s="55">
        <f>10*10</f>
        <v>100</v>
      </c>
      <c r="M24" s="34"/>
      <c r="N24" s="35"/>
      <c r="O24" s="36"/>
      <c r="P24" s="37">
        <f t="shared" si="1"/>
        <v>100</v>
      </c>
    </row>
    <row r="25" spans="1:16" ht="14.25">
      <c r="A25" s="22">
        <v>23</v>
      </c>
      <c r="B25" s="39" t="s">
        <v>55</v>
      </c>
      <c r="C25" s="40" t="s">
        <v>28</v>
      </c>
      <c r="D25" s="41" t="s">
        <v>56</v>
      </c>
      <c r="E25" s="26">
        <v>46054</v>
      </c>
      <c r="F25" s="27">
        <v>21.19</v>
      </c>
      <c r="G25" s="48">
        <f t="shared" si="5"/>
        <v>42.38</v>
      </c>
      <c r="H25" s="29">
        <v>2</v>
      </c>
      <c r="I25" s="30">
        <v>20</v>
      </c>
      <c r="J25" s="31"/>
      <c r="K25" s="31"/>
      <c r="L25" s="45">
        <v>0</v>
      </c>
      <c r="M25" s="34">
        <v>10</v>
      </c>
      <c r="N25" s="35">
        <v>10</v>
      </c>
      <c r="O25" s="36"/>
      <c r="P25" s="37">
        <f t="shared" si="1"/>
        <v>20</v>
      </c>
    </row>
    <row r="26" spans="1:16" ht="42.75">
      <c r="A26" s="22">
        <v>24</v>
      </c>
      <c r="B26" s="39" t="s">
        <v>57</v>
      </c>
      <c r="C26" s="40" t="s">
        <v>20</v>
      </c>
      <c r="D26" s="41" t="s">
        <v>37</v>
      </c>
      <c r="E26" s="44">
        <v>47058</v>
      </c>
      <c r="F26" s="46">
        <v>607.61</v>
      </c>
      <c r="G26" s="48">
        <f t="shared" si="5"/>
        <v>607.61</v>
      </c>
      <c r="H26" s="29">
        <v>1</v>
      </c>
      <c r="I26" s="30">
        <v>10</v>
      </c>
      <c r="J26" s="31"/>
      <c r="K26" s="31"/>
      <c r="L26" s="45">
        <v>10</v>
      </c>
      <c r="M26" s="34"/>
      <c r="N26" s="43"/>
      <c r="O26" s="36"/>
      <c r="P26" s="37">
        <f t="shared" si="1"/>
        <v>10</v>
      </c>
    </row>
    <row r="27" spans="1:16" ht="28.5">
      <c r="A27" s="22">
        <v>25</v>
      </c>
      <c r="B27" s="39" t="s">
        <v>58</v>
      </c>
      <c r="C27" s="40" t="s">
        <v>20</v>
      </c>
      <c r="D27" s="41" t="s">
        <v>59</v>
      </c>
      <c r="E27" s="44">
        <v>45962</v>
      </c>
      <c r="F27" s="46">
        <v>373.4</v>
      </c>
      <c r="G27" s="28">
        <f t="shared" si="5"/>
        <v>373.4</v>
      </c>
      <c r="H27" s="29">
        <v>1</v>
      </c>
      <c r="I27" s="30">
        <v>10</v>
      </c>
      <c r="J27" s="31"/>
      <c r="K27" s="31"/>
      <c r="L27" s="45">
        <v>0</v>
      </c>
      <c r="M27" s="34">
        <v>15</v>
      </c>
      <c r="N27" s="43">
        <v>0</v>
      </c>
      <c r="O27" s="36"/>
      <c r="P27" s="37">
        <f t="shared" si="1"/>
        <v>15</v>
      </c>
    </row>
    <row r="28" spans="1:16" ht="28.5">
      <c r="A28" s="22">
        <v>26</v>
      </c>
      <c r="B28" s="39" t="s">
        <v>60</v>
      </c>
      <c r="C28" s="40" t="s">
        <v>20</v>
      </c>
      <c r="D28" s="41" t="s">
        <v>61</v>
      </c>
      <c r="E28" s="26">
        <v>46935</v>
      </c>
      <c r="F28" s="46">
        <v>71.239999999999995</v>
      </c>
      <c r="G28" s="28">
        <f>F28*H28+0.01</f>
        <v>712.41</v>
      </c>
      <c r="H28" s="29">
        <v>10</v>
      </c>
      <c r="I28" s="56">
        <v>50</v>
      </c>
      <c r="J28" s="31"/>
      <c r="K28" s="31"/>
      <c r="L28" s="45">
        <v>50</v>
      </c>
      <c r="M28" s="34"/>
      <c r="N28" s="43"/>
      <c r="O28" s="36"/>
      <c r="P28" s="37">
        <f t="shared" si="1"/>
        <v>50</v>
      </c>
    </row>
    <row r="29" spans="1:16" ht="28.5">
      <c r="A29" s="22">
        <v>27</v>
      </c>
      <c r="B29" s="39" t="s">
        <v>60</v>
      </c>
      <c r="C29" s="40"/>
      <c r="D29" s="41" t="s">
        <v>62</v>
      </c>
      <c r="E29" s="26">
        <v>45931</v>
      </c>
      <c r="F29" s="46">
        <v>24.716999999999999</v>
      </c>
      <c r="G29" s="28">
        <f t="shared" ref="G29:G31" si="6">F29*H29</f>
        <v>0</v>
      </c>
      <c r="H29" s="29">
        <v>0</v>
      </c>
      <c r="I29" s="56">
        <v>0</v>
      </c>
      <c r="J29" s="31"/>
      <c r="K29" s="31"/>
      <c r="L29" s="45">
        <v>0</v>
      </c>
      <c r="M29" s="34">
        <v>0</v>
      </c>
      <c r="N29" s="43">
        <v>0</v>
      </c>
      <c r="O29" s="36"/>
      <c r="P29" s="37">
        <f t="shared" si="1"/>
        <v>0</v>
      </c>
    </row>
    <row r="30" spans="1:16" ht="28.5">
      <c r="A30" s="22">
        <v>28</v>
      </c>
      <c r="B30" s="49" t="s">
        <v>63</v>
      </c>
      <c r="C30" s="40" t="s">
        <v>20</v>
      </c>
      <c r="D30" s="41" t="s">
        <v>64</v>
      </c>
      <c r="E30" s="26">
        <v>46023</v>
      </c>
      <c r="F30" s="27">
        <v>37.31</v>
      </c>
      <c r="G30" s="28">
        <f t="shared" si="6"/>
        <v>37.31</v>
      </c>
      <c r="H30" s="29">
        <v>1</v>
      </c>
      <c r="I30" s="56">
        <v>10</v>
      </c>
      <c r="J30" s="57"/>
      <c r="K30" s="57"/>
      <c r="L30" s="33">
        <v>0</v>
      </c>
      <c r="M30" s="34"/>
      <c r="N30" s="35">
        <v>10</v>
      </c>
      <c r="O30" s="36"/>
      <c r="P30" s="37">
        <f t="shared" si="1"/>
        <v>10</v>
      </c>
    </row>
    <row r="31" spans="1:16" ht="28.5">
      <c r="A31" s="22">
        <v>29</v>
      </c>
      <c r="B31" s="54" t="s">
        <v>65</v>
      </c>
      <c r="C31" s="40" t="s">
        <v>20</v>
      </c>
      <c r="D31" s="41" t="s">
        <v>64</v>
      </c>
      <c r="E31" s="26">
        <v>46235</v>
      </c>
      <c r="F31" s="27">
        <v>38.840000000000003</v>
      </c>
      <c r="G31" s="28">
        <f t="shared" si="6"/>
        <v>116.52000000000001</v>
      </c>
      <c r="H31" s="29">
        <v>3</v>
      </c>
      <c r="I31" s="30">
        <v>23</v>
      </c>
      <c r="J31" s="32"/>
      <c r="K31" s="32"/>
      <c r="L31" s="33">
        <v>0</v>
      </c>
      <c r="M31" s="34">
        <v>13</v>
      </c>
      <c r="N31" s="35">
        <v>10</v>
      </c>
      <c r="O31" s="36"/>
      <c r="P31" s="37">
        <f t="shared" si="1"/>
        <v>23</v>
      </c>
    </row>
    <row r="32" spans="1:16" ht="14.25">
      <c r="A32" s="22">
        <v>30</v>
      </c>
      <c r="B32" s="49" t="s">
        <v>66</v>
      </c>
      <c r="C32" s="40" t="s">
        <v>20</v>
      </c>
      <c r="D32" s="41" t="s">
        <v>67</v>
      </c>
      <c r="E32" s="44">
        <v>46966</v>
      </c>
      <c r="F32" s="27">
        <v>106.67</v>
      </c>
      <c r="G32" s="28">
        <f>F32*H32-0.03</f>
        <v>2133.37</v>
      </c>
      <c r="H32" s="29">
        <v>20</v>
      </c>
      <c r="I32" s="30">
        <v>400</v>
      </c>
      <c r="J32" s="31"/>
      <c r="K32" s="47"/>
      <c r="L32" s="45">
        <v>400</v>
      </c>
      <c r="M32" s="34"/>
      <c r="N32" s="43"/>
      <c r="O32" s="36"/>
      <c r="P32" s="37">
        <f t="shared" si="1"/>
        <v>400</v>
      </c>
    </row>
    <row r="33" spans="1:16" ht="14.25">
      <c r="A33" s="22">
        <v>31</v>
      </c>
      <c r="B33" s="49" t="s">
        <v>68</v>
      </c>
      <c r="C33" s="40" t="s">
        <v>20</v>
      </c>
      <c r="D33" s="41" t="s">
        <v>67</v>
      </c>
      <c r="E33" s="44">
        <v>46082</v>
      </c>
      <c r="F33" s="27">
        <v>37.8673</v>
      </c>
      <c r="G33" s="28">
        <f t="shared" ref="G33:G35" si="7">F33*H33</f>
        <v>454.4076</v>
      </c>
      <c r="H33" s="29">
        <v>12</v>
      </c>
      <c r="I33" s="30">
        <v>237</v>
      </c>
      <c r="J33" s="31"/>
      <c r="K33" s="47"/>
      <c r="L33" s="45"/>
      <c r="M33" s="34">
        <v>237</v>
      </c>
      <c r="N33" s="43"/>
      <c r="O33" s="36"/>
      <c r="P33" s="37">
        <f t="shared" si="1"/>
        <v>237</v>
      </c>
    </row>
    <row r="34" spans="1:16" ht="14.25">
      <c r="A34" s="22">
        <v>32</v>
      </c>
      <c r="B34" s="23" t="s">
        <v>69</v>
      </c>
      <c r="C34" s="40" t="s">
        <v>20</v>
      </c>
      <c r="D34" s="41" t="s">
        <v>67</v>
      </c>
      <c r="E34" s="44">
        <v>46419</v>
      </c>
      <c r="F34" s="27">
        <v>37.229999999999997</v>
      </c>
      <c r="G34" s="28">
        <f t="shared" si="7"/>
        <v>335.07</v>
      </c>
      <c r="H34" s="29">
        <v>9</v>
      </c>
      <c r="I34" s="30">
        <v>173</v>
      </c>
      <c r="J34" s="31"/>
      <c r="K34" s="47"/>
      <c r="L34" s="45">
        <v>0</v>
      </c>
      <c r="M34" s="34">
        <v>173</v>
      </c>
      <c r="N34" s="43">
        <v>0</v>
      </c>
      <c r="O34" s="36"/>
      <c r="P34" s="37">
        <f t="shared" si="1"/>
        <v>173</v>
      </c>
    </row>
    <row r="35" spans="1:16" ht="14.25">
      <c r="A35" s="38">
        <v>33</v>
      </c>
      <c r="B35" s="23" t="s">
        <v>69</v>
      </c>
      <c r="C35" s="40" t="s">
        <v>20</v>
      </c>
      <c r="D35" s="41" t="s">
        <v>67</v>
      </c>
      <c r="E35" s="44">
        <v>46508</v>
      </c>
      <c r="F35" s="58">
        <v>36.549999999999997</v>
      </c>
      <c r="G35" s="28">
        <f t="shared" si="7"/>
        <v>73.099999999999994</v>
      </c>
      <c r="H35" s="29">
        <v>2</v>
      </c>
      <c r="I35" s="30">
        <v>40</v>
      </c>
      <c r="J35" s="59"/>
      <c r="K35" s="57"/>
      <c r="L35" s="33">
        <v>40</v>
      </c>
      <c r="M35" s="34"/>
      <c r="N35" s="35"/>
      <c r="O35" s="36"/>
      <c r="P35" s="37">
        <f t="shared" si="1"/>
        <v>40</v>
      </c>
    </row>
    <row r="36" spans="1:16" ht="14.25">
      <c r="A36" s="38">
        <v>34</v>
      </c>
      <c r="B36" s="23" t="s">
        <v>69</v>
      </c>
      <c r="C36" s="40" t="s">
        <v>20</v>
      </c>
      <c r="D36" s="41" t="s">
        <v>67</v>
      </c>
      <c r="E36" s="44">
        <v>46874</v>
      </c>
      <c r="F36" s="58">
        <v>67.97</v>
      </c>
      <c r="G36" s="28">
        <f>F36*H36-0.17</f>
        <v>3262.39</v>
      </c>
      <c r="H36" s="29">
        <v>48</v>
      </c>
      <c r="I36" s="30">
        <v>960</v>
      </c>
      <c r="J36" s="59"/>
      <c r="K36" s="57"/>
      <c r="L36" s="33">
        <v>960</v>
      </c>
      <c r="M36" s="34"/>
      <c r="N36" s="35"/>
      <c r="O36" s="36"/>
      <c r="P36" s="37">
        <f t="shared" si="1"/>
        <v>960</v>
      </c>
    </row>
    <row r="37" spans="1:16" ht="28.5">
      <c r="A37" s="38">
        <v>35</v>
      </c>
      <c r="B37" s="39" t="s">
        <v>70</v>
      </c>
      <c r="C37" s="40" t="s">
        <v>20</v>
      </c>
      <c r="D37" s="41" t="s">
        <v>71</v>
      </c>
      <c r="E37" s="44">
        <v>46997</v>
      </c>
      <c r="F37" s="58">
        <v>54.31</v>
      </c>
      <c r="G37" s="28">
        <f>F37*H37+0.01</f>
        <v>162.94</v>
      </c>
      <c r="H37" s="29">
        <v>3</v>
      </c>
      <c r="I37" s="30">
        <v>150</v>
      </c>
      <c r="J37" s="59"/>
      <c r="K37" s="57"/>
      <c r="L37" s="33">
        <v>150</v>
      </c>
      <c r="M37" s="34"/>
      <c r="N37" s="35"/>
      <c r="O37" s="36"/>
      <c r="P37" s="37">
        <f t="shared" si="1"/>
        <v>150</v>
      </c>
    </row>
    <row r="38" spans="1:16" ht="14.25">
      <c r="A38" s="38">
        <v>36</v>
      </c>
      <c r="B38" s="39" t="s">
        <v>72</v>
      </c>
      <c r="C38" s="40" t="s">
        <v>23</v>
      </c>
      <c r="D38" s="41" t="s">
        <v>73</v>
      </c>
      <c r="E38" s="44">
        <v>46753</v>
      </c>
      <c r="F38" s="58">
        <v>46.72</v>
      </c>
      <c r="G38" s="28">
        <f>F38*H38-0.06</f>
        <v>700.74</v>
      </c>
      <c r="H38" s="29">
        <v>15</v>
      </c>
      <c r="I38" s="30"/>
      <c r="J38" s="59"/>
      <c r="K38" s="57"/>
      <c r="L38" s="33">
        <v>15</v>
      </c>
      <c r="M38" s="34"/>
      <c r="N38" s="35"/>
      <c r="O38" s="36"/>
      <c r="P38" s="37">
        <f t="shared" si="1"/>
        <v>15</v>
      </c>
    </row>
    <row r="39" spans="1:16" ht="28.5">
      <c r="A39" s="38">
        <v>37</v>
      </c>
      <c r="B39" s="39" t="s">
        <v>74</v>
      </c>
      <c r="C39" s="40" t="s">
        <v>20</v>
      </c>
      <c r="D39" s="41" t="s">
        <v>37</v>
      </c>
      <c r="E39" s="44">
        <v>47515</v>
      </c>
      <c r="F39" s="58">
        <v>77.09</v>
      </c>
      <c r="G39" s="28">
        <f t="shared" ref="G39:G50" si="8">F39*H39</f>
        <v>77.09</v>
      </c>
      <c r="H39" s="29">
        <v>1</v>
      </c>
      <c r="I39" s="30">
        <v>10</v>
      </c>
      <c r="J39" s="59"/>
      <c r="K39" s="57"/>
      <c r="L39" s="33">
        <v>10</v>
      </c>
      <c r="M39" s="34"/>
      <c r="N39" s="35"/>
      <c r="O39" s="36"/>
      <c r="P39" s="37">
        <f t="shared" si="1"/>
        <v>10</v>
      </c>
    </row>
    <row r="40" spans="1:16" ht="14.25">
      <c r="A40" s="38">
        <v>38</v>
      </c>
      <c r="B40" s="39" t="s">
        <v>75</v>
      </c>
      <c r="C40" s="40" t="s">
        <v>76</v>
      </c>
      <c r="D40" s="41" t="s">
        <v>77</v>
      </c>
      <c r="E40" s="44">
        <v>46113</v>
      </c>
      <c r="F40" s="58">
        <v>152.881666</v>
      </c>
      <c r="G40" s="28">
        <f t="shared" si="8"/>
        <v>4433.5683140000001</v>
      </c>
      <c r="H40" s="29">
        <v>29</v>
      </c>
      <c r="I40" s="30"/>
      <c r="J40" s="59"/>
      <c r="K40" s="57"/>
      <c r="L40" s="33">
        <v>0</v>
      </c>
      <c r="M40" s="34">
        <v>15</v>
      </c>
      <c r="N40" s="35">
        <v>14</v>
      </c>
      <c r="O40" s="36"/>
      <c r="P40" s="37">
        <f t="shared" si="1"/>
        <v>29</v>
      </c>
    </row>
    <row r="41" spans="1:16" ht="14.25">
      <c r="A41" s="22">
        <v>39</v>
      </c>
      <c r="B41" s="39" t="s">
        <v>78</v>
      </c>
      <c r="C41" s="40" t="s">
        <v>20</v>
      </c>
      <c r="D41" s="41" t="s">
        <v>79</v>
      </c>
      <c r="E41" s="44">
        <v>46174</v>
      </c>
      <c r="F41" s="27">
        <v>11.3</v>
      </c>
      <c r="G41" s="28">
        <f t="shared" si="8"/>
        <v>45.2</v>
      </c>
      <c r="H41" s="29">
        <v>4</v>
      </c>
      <c r="I41" s="30">
        <v>40</v>
      </c>
      <c r="J41" s="59"/>
      <c r="K41" s="57"/>
      <c r="L41" s="33">
        <v>0</v>
      </c>
      <c r="M41" s="34">
        <v>40</v>
      </c>
      <c r="N41" s="35"/>
      <c r="O41" s="36"/>
      <c r="P41" s="37">
        <f t="shared" si="1"/>
        <v>40</v>
      </c>
    </row>
    <row r="42" spans="1:16" ht="28.5">
      <c r="A42" s="22">
        <v>40</v>
      </c>
      <c r="B42" s="39" t="s">
        <v>80</v>
      </c>
      <c r="C42" s="40" t="s">
        <v>20</v>
      </c>
      <c r="D42" s="41" t="s">
        <v>81</v>
      </c>
      <c r="E42" s="44">
        <v>46692</v>
      </c>
      <c r="F42" s="27">
        <v>25.3</v>
      </c>
      <c r="G42" s="28">
        <f t="shared" si="8"/>
        <v>202.4</v>
      </c>
      <c r="H42" s="29">
        <v>8</v>
      </c>
      <c r="I42" s="30">
        <v>74</v>
      </c>
      <c r="J42" s="31"/>
      <c r="K42" s="31"/>
      <c r="L42" s="45">
        <f>10*10-10*10</f>
        <v>0</v>
      </c>
      <c r="M42" s="34">
        <v>74</v>
      </c>
      <c r="N42" s="43"/>
      <c r="O42" s="36"/>
      <c r="P42" s="37">
        <f t="shared" si="1"/>
        <v>74</v>
      </c>
    </row>
    <row r="43" spans="1:16" ht="28.5">
      <c r="A43" s="22">
        <v>41</v>
      </c>
      <c r="B43" s="49" t="s">
        <v>80</v>
      </c>
      <c r="C43" s="40" t="s">
        <v>20</v>
      </c>
      <c r="D43" s="41" t="s">
        <v>81</v>
      </c>
      <c r="E43" s="44">
        <v>46692</v>
      </c>
      <c r="F43" s="27">
        <v>25.3</v>
      </c>
      <c r="G43" s="28">
        <f t="shared" si="8"/>
        <v>50.6</v>
      </c>
      <c r="H43" s="29">
        <v>2</v>
      </c>
      <c r="I43" s="30">
        <v>11</v>
      </c>
      <c r="J43" s="31"/>
      <c r="K43" s="31"/>
      <c r="L43" s="45">
        <v>0</v>
      </c>
      <c r="M43" s="34">
        <v>11</v>
      </c>
      <c r="N43" s="43"/>
      <c r="O43" s="36"/>
      <c r="P43" s="37">
        <f t="shared" si="1"/>
        <v>11</v>
      </c>
    </row>
    <row r="44" spans="1:16" ht="28.5">
      <c r="A44" s="22">
        <v>42</v>
      </c>
      <c r="B44" s="54" t="s">
        <v>82</v>
      </c>
      <c r="C44" s="40" t="s">
        <v>20</v>
      </c>
      <c r="D44" s="41" t="s">
        <v>81</v>
      </c>
      <c r="E44" s="44">
        <v>47150</v>
      </c>
      <c r="F44" s="27">
        <v>31.02</v>
      </c>
      <c r="G44" s="28">
        <f t="shared" si="8"/>
        <v>961.62</v>
      </c>
      <c r="H44" s="29">
        <v>31</v>
      </c>
      <c r="I44" s="30">
        <v>310</v>
      </c>
      <c r="J44" s="31"/>
      <c r="K44" s="31"/>
      <c r="L44" s="45">
        <f>31*10</f>
        <v>310</v>
      </c>
      <c r="M44" s="34"/>
      <c r="N44" s="60"/>
      <c r="O44" s="36"/>
      <c r="P44" s="37">
        <f t="shared" si="1"/>
        <v>310</v>
      </c>
    </row>
    <row r="45" spans="1:16" ht="14.25">
      <c r="A45" s="22">
        <v>43</v>
      </c>
      <c r="B45" s="39" t="s">
        <v>83</v>
      </c>
      <c r="C45" s="40" t="s">
        <v>20</v>
      </c>
      <c r="D45" s="41" t="s">
        <v>84</v>
      </c>
      <c r="E45" s="26">
        <v>46266</v>
      </c>
      <c r="F45" s="27">
        <v>90.63</v>
      </c>
      <c r="G45" s="28">
        <f t="shared" si="8"/>
        <v>271.89</v>
      </c>
      <c r="H45" s="29">
        <v>3</v>
      </c>
      <c r="I45" s="30">
        <v>29</v>
      </c>
      <c r="J45" s="31"/>
      <c r="K45" s="32"/>
      <c r="L45" s="33">
        <v>0</v>
      </c>
      <c r="M45" s="42">
        <v>20</v>
      </c>
      <c r="N45" s="35">
        <v>10</v>
      </c>
      <c r="O45" s="36"/>
      <c r="P45" s="37">
        <f t="shared" si="1"/>
        <v>30</v>
      </c>
    </row>
    <row r="46" spans="1:16" ht="14.25">
      <c r="A46" s="22">
        <v>44</v>
      </c>
      <c r="B46" s="49" t="s">
        <v>83</v>
      </c>
      <c r="C46" s="40" t="s">
        <v>20</v>
      </c>
      <c r="D46" s="41" t="s">
        <v>84</v>
      </c>
      <c r="E46" s="26">
        <v>46266</v>
      </c>
      <c r="F46" s="27">
        <v>90.63</v>
      </c>
      <c r="G46" s="28">
        <f t="shared" si="8"/>
        <v>90.63</v>
      </c>
      <c r="H46" s="29">
        <v>1</v>
      </c>
      <c r="I46" s="30">
        <v>4</v>
      </c>
      <c r="J46" s="31"/>
      <c r="K46" s="32"/>
      <c r="L46" s="33">
        <v>0</v>
      </c>
      <c r="M46" s="42">
        <v>4</v>
      </c>
      <c r="N46" s="35"/>
      <c r="O46" s="36"/>
      <c r="P46" s="37">
        <f t="shared" si="1"/>
        <v>4</v>
      </c>
    </row>
    <row r="47" spans="1:16" ht="14.25">
      <c r="A47" s="22">
        <v>45</v>
      </c>
      <c r="B47" s="39" t="s">
        <v>85</v>
      </c>
      <c r="C47" s="40" t="s">
        <v>20</v>
      </c>
      <c r="D47" s="41" t="s">
        <v>86</v>
      </c>
      <c r="E47" s="26">
        <v>45931</v>
      </c>
      <c r="F47" s="27">
        <v>41.815330000000003</v>
      </c>
      <c r="G47" s="28">
        <f t="shared" si="8"/>
        <v>0</v>
      </c>
      <c r="H47" s="29">
        <v>0</v>
      </c>
      <c r="I47" s="30">
        <v>0</v>
      </c>
      <c r="J47" s="31"/>
      <c r="K47" s="32"/>
      <c r="L47" s="33">
        <v>0</v>
      </c>
      <c r="M47" s="42">
        <v>0</v>
      </c>
      <c r="N47" s="35">
        <v>0</v>
      </c>
      <c r="O47" s="36"/>
      <c r="P47" s="37">
        <f t="shared" si="1"/>
        <v>0</v>
      </c>
    </row>
    <row r="48" spans="1:16" ht="28.5">
      <c r="A48" s="22">
        <v>46</v>
      </c>
      <c r="B48" s="49" t="s">
        <v>87</v>
      </c>
      <c r="C48" s="40" t="s">
        <v>20</v>
      </c>
      <c r="D48" s="41" t="s">
        <v>81</v>
      </c>
      <c r="E48" s="26">
        <v>46539</v>
      </c>
      <c r="F48" s="27">
        <v>18.309999999999999</v>
      </c>
      <c r="G48" s="28">
        <f t="shared" si="8"/>
        <v>109.85999999999999</v>
      </c>
      <c r="H48" s="29">
        <v>6</v>
      </c>
      <c r="I48" s="30">
        <v>57</v>
      </c>
      <c r="J48" s="31"/>
      <c r="K48" s="32"/>
      <c r="L48" s="33">
        <v>0</v>
      </c>
      <c r="M48" s="34">
        <v>7</v>
      </c>
      <c r="N48" s="35">
        <v>50</v>
      </c>
      <c r="O48" s="36"/>
      <c r="P48" s="37">
        <f t="shared" si="1"/>
        <v>57</v>
      </c>
    </row>
    <row r="49" spans="1:16" ht="28.5">
      <c r="A49" s="38">
        <v>47</v>
      </c>
      <c r="B49" s="54" t="s">
        <v>88</v>
      </c>
      <c r="C49" s="40" t="s">
        <v>20</v>
      </c>
      <c r="D49" s="41" t="s">
        <v>81</v>
      </c>
      <c r="E49" s="26">
        <v>46813</v>
      </c>
      <c r="F49" s="27">
        <v>22.34</v>
      </c>
      <c r="G49" s="28">
        <f t="shared" si="8"/>
        <v>446.8</v>
      </c>
      <c r="H49" s="29">
        <v>20</v>
      </c>
      <c r="I49" s="30">
        <v>200</v>
      </c>
      <c r="J49" s="31"/>
      <c r="K49" s="32"/>
      <c r="L49" s="45">
        <f>20*10-1*10</f>
        <v>190</v>
      </c>
      <c r="M49" s="42">
        <v>10</v>
      </c>
      <c r="N49" s="35"/>
      <c r="O49" s="36"/>
      <c r="P49" s="37">
        <f t="shared" si="1"/>
        <v>200</v>
      </c>
    </row>
    <row r="50" spans="1:16" ht="28.5">
      <c r="A50" s="22">
        <v>48</v>
      </c>
      <c r="B50" s="49" t="s">
        <v>89</v>
      </c>
      <c r="C50" s="40" t="s">
        <v>23</v>
      </c>
      <c r="D50" s="41" t="s">
        <v>90</v>
      </c>
      <c r="E50" s="26">
        <v>46935</v>
      </c>
      <c r="F50" s="27">
        <v>16.274699999999999</v>
      </c>
      <c r="G50" s="28">
        <f t="shared" si="8"/>
        <v>32.549399999999999</v>
      </c>
      <c r="H50" s="29">
        <v>2</v>
      </c>
      <c r="I50" s="30"/>
      <c r="J50" s="31"/>
      <c r="K50" s="32"/>
      <c r="L50" s="45">
        <v>0</v>
      </c>
      <c r="M50" s="42">
        <v>2</v>
      </c>
      <c r="N50" s="35"/>
      <c r="O50" s="36"/>
      <c r="P50" s="37">
        <f t="shared" si="1"/>
        <v>2</v>
      </c>
    </row>
    <row r="51" spans="1:16" ht="28.5">
      <c r="A51" s="22">
        <v>49</v>
      </c>
      <c r="B51" s="54" t="s">
        <v>91</v>
      </c>
      <c r="C51" s="40" t="s">
        <v>23</v>
      </c>
      <c r="D51" s="41" t="s">
        <v>77</v>
      </c>
      <c r="E51" s="26">
        <v>46935</v>
      </c>
      <c r="F51" s="27">
        <v>16.760000000000002</v>
      </c>
      <c r="G51" s="28">
        <f>F51*H51-0.08</f>
        <v>335.12000000000006</v>
      </c>
      <c r="H51" s="29">
        <v>20</v>
      </c>
      <c r="I51" s="30"/>
      <c r="J51" s="31"/>
      <c r="K51" s="32"/>
      <c r="L51" s="45">
        <v>20</v>
      </c>
      <c r="M51" s="42"/>
      <c r="N51" s="35"/>
      <c r="O51" s="36"/>
      <c r="P51" s="37">
        <f t="shared" si="1"/>
        <v>20</v>
      </c>
    </row>
    <row r="52" spans="1:16" ht="28.5">
      <c r="A52" s="22">
        <v>50</v>
      </c>
      <c r="B52" s="54" t="s">
        <v>91</v>
      </c>
      <c r="C52" s="40" t="s">
        <v>23</v>
      </c>
      <c r="D52" s="41" t="s">
        <v>77</v>
      </c>
      <c r="E52" s="26">
        <v>46905</v>
      </c>
      <c r="F52" s="27">
        <v>16.760000000000002</v>
      </c>
      <c r="G52" s="28">
        <f>F52*H52-0.04</f>
        <v>167.56000000000003</v>
      </c>
      <c r="H52" s="29">
        <v>10</v>
      </c>
      <c r="I52" s="30"/>
      <c r="J52" s="31"/>
      <c r="K52" s="32"/>
      <c r="L52" s="45">
        <v>10</v>
      </c>
      <c r="M52" s="42"/>
      <c r="N52" s="35"/>
      <c r="O52" s="36"/>
      <c r="P52" s="37">
        <f t="shared" si="1"/>
        <v>10</v>
      </c>
    </row>
    <row r="53" spans="1:16" ht="28.5">
      <c r="A53" s="22">
        <v>51</v>
      </c>
      <c r="B53" s="54" t="s">
        <v>92</v>
      </c>
      <c r="C53" s="40" t="s">
        <v>20</v>
      </c>
      <c r="D53" s="41" t="s">
        <v>90</v>
      </c>
      <c r="E53" s="26">
        <v>46478</v>
      </c>
      <c r="F53" s="27">
        <v>17.66</v>
      </c>
      <c r="G53" s="28">
        <f t="shared" ref="G53:G57" si="9">F53*H53</f>
        <v>529.79999999999995</v>
      </c>
      <c r="H53" s="29">
        <v>30</v>
      </c>
      <c r="I53" s="30"/>
      <c r="J53" s="31"/>
      <c r="K53" s="32"/>
      <c r="L53" s="45">
        <v>0</v>
      </c>
      <c r="M53" s="42">
        <v>17</v>
      </c>
      <c r="N53" s="35">
        <v>13</v>
      </c>
      <c r="O53" s="36"/>
      <c r="P53" s="37">
        <f t="shared" si="1"/>
        <v>30</v>
      </c>
    </row>
    <row r="54" spans="1:16" ht="28.5">
      <c r="A54" s="38">
        <v>52</v>
      </c>
      <c r="B54" s="39" t="s">
        <v>93</v>
      </c>
      <c r="C54" s="40" t="s">
        <v>20</v>
      </c>
      <c r="D54" s="41" t="s">
        <v>94</v>
      </c>
      <c r="E54" s="44">
        <v>46327</v>
      </c>
      <c r="F54" s="27">
        <v>14.787000000000001</v>
      </c>
      <c r="G54" s="28">
        <f t="shared" si="9"/>
        <v>103.509</v>
      </c>
      <c r="H54" s="29">
        <v>7</v>
      </c>
      <c r="I54" s="30">
        <v>35</v>
      </c>
      <c r="J54" s="31"/>
      <c r="K54" s="31"/>
      <c r="L54" s="45">
        <v>0</v>
      </c>
      <c r="M54" s="42">
        <v>35</v>
      </c>
      <c r="N54" s="61"/>
      <c r="O54" s="36"/>
      <c r="P54" s="37">
        <f t="shared" si="1"/>
        <v>35</v>
      </c>
    </row>
    <row r="55" spans="1:16" ht="28.5">
      <c r="A55" s="22">
        <v>53</v>
      </c>
      <c r="B55" s="49" t="s">
        <v>93</v>
      </c>
      <c r="C55" s="40" t="s">
        <v>20</v>
      </c>
      <c r="D55" s="41" t="s">
        <v>94</v>
      </c>
      <c r="E55" s="44">
        <v>46631</v>
      </c>
      <c r="F55" s="27">
        <v>21.77</v>
      </c>
      <c r="G55" s="28">
        <f t="shared" si="9"/>
        <v>0</v>
      </c>
      <c r="H55" s="29">
        <v>0</v>
      </c>
      <c r="I55" s="30">
        <v>0</v>
      </c>
      <c r="J55" s="31"/>
      <c r="K55" s="31"/>
      <c r="L55" s="45">
        <v>0</v>
      </c>
      <c r="M55" s="42">
        <v>0</v>
      </c>
      <c r="N55" s="35">
        <v>0</v>
      </c>
      <c r="O55" s="36"/>
      <c r="P55" s="37">
        <f t="shared" si="1"/>
        <v>0</v>
      </c>
    </row>
    <row r="56" spans="1:16" ht="14.25">
      <c r="A56" s="22">
        <v>54</v>
      </c>
      <c r="B56" s="39" t="s">
        <v>95</v>
      </c>
      <c r="C56" s="40" t="s">
        <v>20</v>
      </c>
      <c r="D56" s="41" t="s">
        <v>96</v>
      </c>
      <c r="E56" s="26">
        <v>46357</v>
      </c>
      <c r="F56" s="27">
        <v>16.5</v>
      </c>
      <c r="G56" s="28">
        <f t="shared" si="9"/>
        <v>495</v>
      </c>
      <c r="H56" s="29">
        <v>30</v>
      </c>
      <c r="I56" s="30">
        <v>300</v>
      </c>
      <c r="J56" s="31"/>
      <c r="K56" s="32"/>
      <c r="L56" s="45">
        <f>30*10-2*10</f>
        <v>280</v>
      </c>
      <c r="M56" s="34">
        <v>0</v>
      </c>
      <c r="N56" s="43">
        <v>20</v>
      </c>
      <c r="O56" s="36"/>
      <c r="P56" s="37">
        <f t="shared" si="1"/>
        <v>300</v>
      </c>
    </row>
    <row r="57" spans="1:16" ht="14.25">
      <c r="A57" s="22">
        <v>55</v>
      </c>
      <c r="B57" s="49" t="s">
        <v>95</v>
      </c>
      <c r="C57" s="40" t="s">
        <v>20</v>
      </c>
      <c r="D57" s="41" t="s">
        <v>96</v>
      </c>
      <c r="E57" s="26">
        <v>46357</v>
      </c>
      <c r="F57" s="27">
        <v>16.5</v>
      </c>
      <c r="G57" s="28">
        <f t="shared" si="9"/>
        <v>49.5</v>
      </c>
      <c r="H57" s="29">
        <v>3</v>
      </c>
      <c r="I57" s="30">
        <v>27</v>
      </c>
      <c r="J57" s="31"/>
      <c r="K57" s="32"/>
      <c r="L57" s="45">
        <v>0</v>
      </c>
      <c r="M57" s="34">
        <v>27</v>
      </c>
      <c r="N57" s="43"/>
      <c r="O57" s="36"/>
      <c r="P57" s="37">
        <f t="shared" si="1"/>
        <v>27</v>
      </c>
    </row>
    <row r="58" spans="1:16" ht="14.25">
      <c r="A58" s="22">
        <v>56</v>
      </c>
      <c r="B58" s="62" t="s">
        <v>97</v>
      </c>
      <c r="C58" s="40" t="s">
        <v>23</v>
      </c>
      <c r="D58" s="63" t="s">
        <v>98</v>
      </c>
      <c r="E58" s="26">
        <v>46023</v>
      </c>
      <c r="F58" s="46">
        <v>20.48</v>
      </c>
      <c r="G58" s="48">
        <f>F58*H58-0.02</f>
        <v>245.73999999999998</v>
      </c>
      <c r="H58" s="29">
        <v>12</v>
      </c>
      <c r="I58" s="30"/>
      <c r="J58" s="31"/>
      <c r="K58" s="32"/>
      <c r="L58" s="45">
        <f>20-10-5</f>
        <v>5</v>
      </c>
      <c r="M58" s="34">
        <v>3</v>
      </c>
      <c r="N58" s="35">
        <v>4</v>
      </c>
      <c r="O58" s="36"/>
      <c r="P58" s="37">
        <f t="shared" si="1"/>
        <v>12</v>
      </c>
    </row>
    <row r="59" spans="1:16" ht="14.25">
      <c r="A59" s="22">
        <v>57</v>
      </c>
      <c r="B59" s="39" t="s">
        <v>97</v>
      </c>
      <c r="C59" s="40" t="s">
        <v>23</v>
      </c>
      <c r="D59" s="41" t="s">
        <v>98</v>
      </c>
      <c r="E59" s="26">
        <v>46508</v>
      </c>
      <c r="F59" s="27">
        <v>11.78</v>
      </c>
      <c r="G59" s="48">
        <f>F59*H59+0.07</f>
        <v>1178.07</v>
      </c>
      <c r="H59" s="64">
        <v>100</v>
      </c>
      <c r="I59" s="30"/>
      <c r="J59" s="32"/>
      <c r="K59" s="32"/>
      <c r="L59" s="33">
        <v>100</v>
      </c>
      <c r="M59" s="42"/>
      <c r="N59" s="43"/>
      <c r="O59" s="36"/>
      <c r="P59" s="37">
        <f t="shared" si="1"/>
        <v>100</v>
      </c>
    </row>
    <row r="60" spans="1:16" ht="14.25">
      <c r="A60" s="22">
        <v>58</v>
      </c>
      <c r="B60" s="39" t="s">
        <v>99</v>
      </c>
      <c r="C60" s="40" t="s">
        <v>23</v>
      </c>
      <c r="D60" s="41" t="s">
        <v>77</v>
      </c>
      <c r="E60" s="26">
        <v>46054</v>
      </c>
      <c r="F60" s="27">
        <v>69.849999999999994</v>
      </c>
      <c r="G60" s="28">
        <f>F60*H60</f>
        <v>209.54999999999998</v>
      </c>
      <c r="H60" s="64">
        <v>3</v>
      </c>
      <c r="I60" s="30"/>
      <c r="J60" s="32"/>
      <c r="K60" s="32"/>
      <c r="L60" s="33">
        <v>0</v>
      </c>
      <c r="M60" s="42">
        <v>2</v>
      </c>
      <c r="N60" s="43">
        <v>1</v>
      </c>
      <c r="O60" s="36"/>
      <c r="P60" s="37">
        <f t="shared" si="1"/>
        <v>3</v>
      </c>
    </row>
    <row r="61" spans="1:16" ht="42.75">
      <c r="A61" s="22">
        <v>59</v>
      </c>
      <c r="B61" s="39" t="s">
        <v>100</v>
      </c>
      <c r="C61" s="40" t="s">
        <v>20</v>
      </c>
      <c r="D61" s="41" t="s">
        <v>101</v>
      </c>
      <c r="E61" s="26">
        <v>46569</v>
      </c>
      <c r="F61" s="27">
        <v>77.430000000000007</v>
      </c>
      <c r="G61" s="28">
        <f>F61*H61-0.01</f>
        <v>232.28000000000003</v>
      </c>
      <c r="H61" s="64">
        <v>3</v>
      </c>
      <c r="I61" s="30"/>
      <c r="J61" s="32"/>
      <c r="K61" s="32"/>
      <c r="L61" s="33">
        <v>3</v>
      </c>
      <c r="M61" s="42"/>
      <c r="N61" s="43"/>
      <c r="O61" s="36"/>
      <c r="P61" s="37">
        <f t="shared" si="1"/>
        <v>3</v>
      </c>
    </row>
    <row r="62" spans="1:16" ht="28.5">
      <c r="A62" s="22">
        <v>60</v>
      </c>
      <c r="B62" s="39" t="s">
        <v>102</v>
      </c>
      <c r="C62" s="40" t="s">
        <v>23</v>
      </c>
      <c r="D62" s="41" t="s">
        <v>103</v>
      </c>
      <c r="E62" s="26">
        <v>46388</v>
      </c>
      <c r="F62" s="27">
        <v>28.37</v>
      </c>
      <c r="G62" s="48">
        <f t="shared" ref="G62:G68" si="10">F62*H62</f>
        <v>170.22</v>
      </c>
      <c r="H62" s="64">
        <v>6</v>
      </c>
      <c r="I62" s="30"/>
      <c r="J62" s="32"/>
      <c r="K62" s="32"/>
      <c r="L62" s="33">
        <v>0</v>
      </c>
      <c r="M62" s="42">
        <v>0</v>
      </c>
      <c r="N62" s="43">
        <v>6</v>
      </c>
      <c r="O62" s="36"/>
      <c r="P62" s="37">
        <f t="shared" si="1"/>
        <v>6</v>
      </c>
    </row>
    <row r="63" spans="1:16" ht="14.25">
      <c r="A63" s="38">
        <v>61</v>
      </c>
      <c r="B63" s="39" t="s">
        <v>104</v>
      </c>
      <c r="C63" s="40" t="s">
        <v>23</v>
      </c>
      <c r="D63" s="41" t="s">
        <v>98</v>
      </c>
      <c r="E63" s="44">
        <v>46784</v>
      </c>
      <c r="F63" s="46">
        <v>27</v>
      </c>
      <c r="G63" s="28">
        <f t="shared" si="10"/>
        <v>10557</v>
      </c>
      <c r="H63" s="64">
        <v>391</v>
      </c>
      <c r="I63" s="30"/>
      <c r="J63" s="32"/>
      <c r="K63" s="65"/>
      <c r="L63" s="33">
        <f>390-10-30</f>
        <v>350</v>
      </c>
      <c r="M63" s="34">
        <v>31</v>
      </c>
      <c r="N63" s="35">
        <v>10</v>
      </c>
      <c r="O63" s="36"/>
      <c r="P63" s="37">
        <f t="shared" si="1"/>
        <v>391</v>
      </c>
    </row>
    <row r="64" spans="1:16" ht="14.25">
      <c r="A64" s="22">
        <v>62</v>
      </c>
      <c r="B64" s="49" t="s">
        <v>104</v>
      </c>
      <c r="C64" s="40" t="s">
        <v>23</v>
      </c>
      <c r="D64" s="41" t="s">
        <v>98</v>
      </c>
      <c r="E64" s="26">
        <v>46784</v>
      </c>
      <c r="F64" s="46">
        <v>27</v>
      </c>
      <c r="G64" s="28">
        <f t="shared" si="10"/>
        <v>0</v>
      </c>
      <c r="H64" s="29">
        <v>0</v>
      </c>
      <c r="I64" s="30"/>
      <c r="J64" s="31"/>
      <c r="K64" s="31"/>
      <c r="L64" s="45">
        <v>0</v>
      </c>
      <c r="M64" s="34">
        <v>0</v>
      </c>
      <c r="N64" s="43">
        <v>0</v>
      </c>
      <c r="O64" s="66"/>
      <c r="P64" s="37">
        <f t="shared" si="1"/>
        <v>0</v>
      </c>
    </row>
    <row r="65" spans="1:16" ht="28.5">
      <c r="A65" s="22">
        <v>63</v>
      </c>
      <c r="B65" s="49" t="s">
        <v>105</v>
      </c>
      <c r="C65" s="40" t="s">
        <v>47</v>
      </c>
      <c r="D65" s="41" t="s">
        <v>84</v>
      </c>
      <c r="E65" s="26">
        <v>46784</v>
      </c>
      <c r="F65" s="46">
        <v>26.96</v>
      </c>
      <c r="G65" s="48">
        <f t="shared" si="10"/>
        <v>26.96</v>
      </c>
      <c r="H65" s="29">
        <v>1</v>
      </c>
      <c r="I65" s="30">
        <v>5</v>
      </c>
      <c r="J65" s="31"/>
      <c r="K65" s="31"/>
      <c r="L65" s="45">
        <v>0</v>
      </c>
      <c r="M65" s="34">
        <v>5</v>
      </c>
      <c r="N65" s="43">
        <v>0</v>
      </c>
      <c r="O65" s="66"/>
      <c r="P65" s="37">
        <f t="shared" si="1"/>
        <v>5</v>
      </c>
    </row>
    <row r="66" spans="1:16" ht="18" customHeight="1">
      <c r="A66" s="22">
        <v>64</v>
      </c>
      <c r="B66" s="39" t="s">
        <v>106</v>
      </c>
      <c r="C66" s="40" t="s">
        <v>76</v>
      </c>
      <c r="D66" s="41" t="s">
        <v>77</v>
      </c>
      <c r="E66" s="67">
        <v>46113</v>
      </c>
      <c r="F66" s="58">
        <v>26.364660000000001</v>
      </c>
      <c r="G66" s="28">
        <f t="shared" si="10"/>
        <v>738.21047999999996</v>
      </c>
      <c r="H66" s="29">
        <v>28</v>
      </c>
      <c r="I66" s="30"/>
      <c r="J66" s="31"/>
      <c r="K66" s="31"/>
      <c r="L66" s="45">
        <v>0</v>
      </c>
      <c r="M66" s="34">
        <v>14</v>
      </c>
      <c r="N66" s="43">
        <v>14</v>
      </c>
      <c r="O66" s="66"/>
      <c r="P66" s="37">
        <f t="shared" si="1"/>
        <v>28</v>
      </c>
    </row>
    <row r="67" spans="1:16" ht="28.5">
      <c r="A67" s="22">
        <v>65</v>
      </c>
      <c r="B67" s="39" t="s">
        <v>107</v>
      </c>
      <c r="C67" s="40" t="s">
        <v>20</v>
      </c>
      <c r="D67" s="41" t="s">
        <v>108</v>
      </c>
      <c r="E67" s="26">
        <v>46327</v>
      </c>
      <c r="F67" s="27">
        <v>16.48</v>
      </c>
      <c r="G67" s="28">
        <f t="shared" si="10"/>
        <v>49.44</v>
      </c>
      <c r="H67" s="29">
        <v>3</v>
      </c>
      <c r="I67" s="30">
        <v>150</v>
      </c>
      <c r="J67" s="31"/>
      <c r="K67" s="31"/>
      <c r="L67" s="45">
        <v>0</v>
      </c>
      <c r="M67" s="34">
        <v>100</v>
      </c>
      <c r="N67" s="35">
        <v>50</v>
      </c>
      <c r="O67" s="36"/>
      <c r="P67" s="37">
        <f t="shared" si="1"/>
        <v>150</v>
      </c>
    </row>
    <row r="68" spans="1:16" ht="14.25">
      <c r="A68" s="22">
        <v>66</v>
      </c>
      <c r="B68" s="39" t="s">
        <v>109</v>
      </c>
      <c r="C68" s="40" t="s">
        <v>20</v>
      </c>
      <c r="D68" s="41" t="s">
        <v>110</v>
      </c>
      <c r="E68" s="26">
        <v>46357</v>
      </c>
      <c r="F68" s="27">
        <v>45.143000000000001</v>
      </c>
      <c r="G68" s="48">
        <f t="shared" si="10"/>
        <v>180.572</v>
      </c>
      <c r="H68" s="29">
        <v>4</v>
      </c>
      <c r="I68" s="30">
        <v>80</v>
      </c>
      <c r="J68" s="31"/>
      <c r="K68" s="31"/>
      <c r="L68" s="45">
        <v>0</v>
      </c>
      <c r="M68" s="34">
        <v>80</v>
      </c>
      <c r="N68" s="35"/>
      <c r="O68" s="36"/>
      <c r="P68" s="37">
        <f t="shared" si="1"/>
        <v>80</v>
      </c>
    </row>
    <row r="69" spans="1:16" ht="28.5">
      <c r="A69" s="22">
        <v>67</v>
      </c>
      <c r="B69" s="39" t="s">
        <v>111</v>
      </c>
      <c r="C69" s="40" t="s">
        <v>20</v>
      </c>
      <c r="D69" s="41" t="s">
        <v>37</v>
      </c>
      <c r="E69" s="26">
        <v>46753</v>
      </c>
      <c r="F69" s="46">
        <v>33.729999999999997</v>
      </c>
      <c r="G69" s="48">
        <f>F69*H69-0.04</f>
        <v>337.25999999999993</v>
      </c>
      <c r="H69" s="29">
        <v>10</v>
      </c>
      <c r="I69" s="30">
        <v>100</v>
      </c>
      <c r="J69" s="31"/>
      <c r="K69" s="32"/>
      <c r="L69" s="45">
        <v>100</v>
      </c>
      <c r="M69" s="34"/>
      <c r="N69" s="35"/>
      <c r="O69" s="36"/>
      <c r="P69" s="37">
        <f t="shared" si="1"/>
        <v>100</v>
      </c>
    </row>
    <row r="70" spans="1:16" ht="28.5">
      <c r="A70" s="22">
        <v>68</v>
      </c>
      <c r="B70" s="39" t="s">
        <v>112</v>
      </c>
      <c r="C70" s="40" t="s">
        <v>20</v>
      </c>
      <c r="D70" s="41" t="s">
        <v>94</v>
      </c>
      <c r="E70" s="26">
        <v>46235</v>
      </c>
      <c r="F70" s="46">
        <v>71.018000000000001</v>
      </c>
      <c r="G70" s="28">
        <f t="shared" ref="G70:G71" si="11">F70*H70-0.01</f>
        <v>355.08000000000004</v>
      </c>
      <c r="H70" s="29">
        <v>5</v>
      </c>
      <c r="I70" s="30">
        <v>25</v>
      </c>
      <c r="J70" s="31"/>
      <c r="K70" s="32"/>
      <c r="L70" s="45">
        <f>5*5</f>
        <v>25</v>
      </c>
      <c r="M70" s="34"/>
      <c r="N70" s="35">
        <v>0</v>
      </c>
      <c r="O70" s="36"/>
      <c r="P70" s="37">
        <f t="shared" si="1"/>
        <v>25</v>
      </c>
    </row>
    <row r="71" spans="1:16" ht="28.5">
      <c r="A71" s="22">
        <v>69</v>
      </c>
      <c r="B71" s="49" t="s">
        <v>113</v>
      </c>
      <c r="C71" s="40" t="s">
        <v>20</v>
      </c>
      <c r="D71" s="41" t="s">
        <v>94</v>
      </c>
      <c r="E71" s="26">
        <v>46235</v>
      </c>
      <c r="F71" s="27">
        <v>71.02</v>
      </c>
      <c r="G71" s="28">
        <f t="shared" si="11"/>
        <v>142.03</v>
      </c>
      <c r="H71" s="29">
        <v>2</v>
      </c>
      <c r="I71" s="30">
        <v>8</v>
      </c>
      <c r="J71" s="31"/>
      <c r="K71" s="32"/>
      <c r="L71" s="45">
        <v>0</v>
      </c>
      <c r="M71" s="34"/>
      <c r="N71" s="35">
        <v>8</v>
      </c>
      <c r="O71" s="36"/>
      <c r="P71" s="37">
        <f t="shared" si="1"/>
        <v>8</v>
      </c>
    </row>
    <row r="72" spans="1:16" ht="21" customHeight="1">
      <c r="A72" s="22">
        <v>70</v>
      </c>
      <c r="B72" s="68" t="s">
        <v>114</v>
      </c>
      <c r="C72" s="69" t="s">
        <v>23</v>
      </c>
      <c r="D72" s="25" t="s">
        <v>115</v>
      </c>
      <c r="E72" s="70">
        <v>46447</v>
      </c>
      <c r="F72" s="64">
        <v>15.13</v>
      </c>
      <c r="G72" s="28">
        <f t="shared" ref="G72:G107" si="12">F72*H72</f>
        <v>75.650000000000006</v>
      </c>
      <c r="H72" s="64">
        <v>5</v>
      </c>
      <c r="I72" s="71"/>
      <c r="J72" s="31"/>
      <c r="K72" s="32"/>
      <c r="L72" s="33">
        <v>0</v>
      </c>
      <c r="M72" s="34">
        <v>2</v>
      </c>
      <c r="N72" s="35">
        <v>3</v>
      </c>
      <c r="O72" s="36"/>
      <c r="P72" s="37">
        <f t="shared" si="1"/>
        <v>5</v>
      </c>
    </row>
    <row r="73" spans="1:16" ht="28.5">
      <c r="A73" s="38">
        <v>71</v>
      </c>
      <c r="B73" s="72" t="s">
        <v>116</v>
      </c>
      <c r="C73" s="69"/>
      <c r="D73" s="73"/>
      <c r="E73" s="70">
        <v>46113</v>
      </c>
      <c r="F73" s="74">
        <v>3234.61</v>
      </c>
      <c r="G73" s="28">
        <f t="shared" si="12"/>
        <v>268472.63</v>
      </c>
      <c r="H73" s="64">
        <v>83</v>
      </c>
      <c r="I73" s="71">
        <v>830</v>
      </c>
      <c r="J73" s="31"/>
      <c r="K73" s="32"/>
      <c r="L73" s="33"/>
      <c r="M73" s="34"/>
      <c r="N73" s="35">
        <v>830</v>
      </c>
      <c r="O73" s="36"/>
      <c r="P73" s="37">
        <f t="shared" si="1"/>
        <v>830</v>
      </c>
    </row>
    <row r="74" spans="1:16" ht="28.5">
      <c r="A74" s="38">
        <v>72</v>
      </c>
      <c r="B74" s="72" t="s">
        <v>117</v>
      </c>
      <c r="C74" s="69" t="s">
        <v>118</v>
      </c>
      <c r="D74" s="73"/>
      <c r="E74" s="70">
        <v>46174</v>
      </c>
      <c r="F74" s="74">
        <v>2.14</v>
      </c>
      <c r="G74" s="28">
        <f t="shared" si="12"/>
        <v>798.22</v>
      </c>
      <c r="H74" s="64">
        <v>373</v>
      </c>
      <c r="I74" s="71"/>
      <c r="J74" s="31"/>
      <c r="K74" s="32"/>
      <c r="L74" s="33"/>
      <c r="M74" s="34"/>
      <c r="N74" s="35">
        <v>373</v>
      </c>
      <c r="O74" s="36"/>
      <c r="P74" s="37">
        <f t="shared" si="1"/>
        <v>373</v>
      </c>
    </row>
    <row r="75" spans="1:16" ht="24">
      <c r="A75" s="22">
        <v>73</v>
      </c>
      <c r="B75" s="75" t="s">
        <v>119</v>
      </c>
      <c r="C75" s="76"/>
      <c r="D75" s="77" t="s">
        <v>120</v>
      </c>
      <c r="E75" s="78"/>
      <c r="F75" s="79">
        <v>72</v>
      </c>
      <c r="G75" s="80">
        <f t="shared" si="12"/>
        <v>4752</v>
      </c>
      <c r="H75" s="81">
        <v>66</v>
      </c>
      <c r="I75" s="82"/>
      <c r="J75" s="31"/>
      <c r="K75" s="32"/>
      <c r="L75" s="33">
        <v>0</v>
      </c>
      <c r="M75" s="34">
        <v>66</v>
      </c>
      <c r="N75" s="35"/>
      <c r="O75" s="36"/>
      <c r="P75" s="37">
        <f t="shared" si="1"/>
        <v>66</v>
      </c>
    </row>
    <row r="76" spans="1:16" ht="14.25">
      <c r="A76" s="22">
        <v>74</v>
      </c>
      <c r="B76" s="83" t="s">
        <v>121</v>
      </c>
      <c r="C76" s="76" t="s">
        <v>20</v>
      </c>
      <c r="D76" s="77" t="s">
        <v>122</v>
      </c>
      <c r="E76" s="78"/>
      <c r="F76" s="79">
        <v>980</v>
      </c>
      <c r="G76" s="80">
        <f t="shared" si="12"/>
        <v>66640</v>
      </c>
      <c r="H76" s="81">
        <v>68</v>
      </c>
      <c r="I76" s="82">
        <v>6800</v>
      </c>
      <c r="J76" s="31"/>
      <c r="K76" s="32"/>
      <c r="L76" s="33">
        <v>5000</v>
      </c>
      <c r="M76" s="34"/>
      <c r="N76" s="35">
        <v>1800</v>
      </c>
      <c r="O76" s="36"/>
      <c r="P76" s="37">
        <f t="shared" si="1"/>
        <v>6800</v>
      </c>
    </row>
    <row r="77" spans="1:16" ht="28.5">
      <c r="A77" s="22">
        <v>75</v>
      </c>
      <c r="B77" s="75" t="s">
        <v>123</v>
      </c>
      <c r="C77" s="76"/>
      <c r="D77" s="84" t="s">
        <v>124</v>
      </c>
      <c r="E77" s="78"/>
      <c r="F77" s="79">
        <v>37</v>
      </c>
      <c r="G77" s="80">
        <f t="shared" si="12"/>
        <v>5106</v>
      </c>
      <c r="H77" s="81">
        <v>138</v>
      </c>
      <c r="I77" s="85"/>
      <c r="J77" s="59"/>
      <c r="K77" s="57"/>
      <c r="L77" s="33">
        <f t="shared" ref="L77:L78" si="13">275-100-50-50</f>
        <v>75</v>
      </c>
      <c r="M77" s="34">
        <v>44</v>
      </c>
      <c r="N77" s="43">
        <v>19</v>
      </c>
      <c r="O77" s="66"/>
      <c r="P77" s="37">
        <f t="shared" si="1"/>
        <v>138</v>
      </c>
    </row>
    <row r="78" spans="1:16" ht="28.5">
      <c r="A78" s="22">
        <v>76</v>
      </c>
      <c r="B78" s="75" t="s">
        <v>125</v>
      </c>
      <c r="C78" s="76"/>
      <c r="D78" s="84" t="s">
        <v>124</v>
      </c>
      <c r="E78" s="78"/>
      <c r="F78" s="79">
        <v>39</v>
      </c>
      <c r="G78" s="80">
        <f t="shared" si="12"/>
        <v>5343</v>
      </c>
      <c r="H78" s="81">
        <v>137</v>
      </c>
      <c r="I78" s="85"/>
      <c r="J78" s="59"/>
      <c r="K78" s="57"/>
      <c r="L78" s="33">
        <f t="shared" si="13"/>
        <v>75</v>
      </c>
      <c r="M78" s="34">
        <v>44</v>
      </c>
      <c r="N78" s="43">
        <v>18</v>
      </c>
      <c r="O78" s="66"/>
      <c r="P78" s="37">
        <f t="shared" si="1"/>
        <v>137</v>
      </c>
    </row>
    <row r="79" spans="1:16" ht="28.5">
      <c r="A79" s="22">
        <v>77</v>
      </c>
      <c r="B79" s="75" t="s">
        <v>126</v>
      </c>
      <c r="C79" s="76"/>
      <c r="D79" s="84" t="s">
        <v>124</v>
      </c>
      <c r="E79" s="78">
        <v>46235</v>
      </c>
      <c r="F79" s="79">
        <v>37</v>
      </c>
      <c r="G79" s="80">
        <f t="shared" si="12"/>
        <v>1739</v>
      </c>
      <c r="H79" s="81">
        <v>47</v>
      </c>
      <c r="I79" s="85"/>
      <c r="J79" s="59"/>
      <c r="K79" s="57"/>
      <c r="L79" s="33"/>
      <c r="M79" s="34">
        <v>22</v>
      </c>
      <c r="N79" s="43">
        <v>25</v>
      </c>
      <c r="O79" s="66"/>
      <c r="P79" s="37">
        <f t="shared" si="1"/>
        <v>47</v>
      </c>
    </row>
    <row r="80" spans="1:16" ht="28.5">
      <c r="A80" s="22">
        <v>78</v>
      </c>
      <c r="B80" s="75" t="s">
        <v>127</v>
      </c>
      <c r="C80" s="76"/>
      <c r="D80" s="84" t="s">
        <v>128</v>
      </c>
      <c r="E80" s="86">
        <v>46327</v>
      </c>
      <c r="F80" s="79">
        <v>85</v>
      </c>
      <c r="G80" s="80">
        <f t="shared" si="12"/>
        <v>8160</v>
      </c>
      <c r="H80" s="81">
        <v>96</v>
      </c>
      <c r="I80" s="85"/>
      <c r="J80" s="59"/>
      <c r="K80" s="57"/>
      <c r="L80" s="33"/>
      <c r="M80" s="34">
        <v>46</v>
      </c>
      <c r="N80" s="43">
        <v>50</v>
      </c>
      <c r="O80" s="66"/>
      <c r="P80" s="37">
        <f t="shared" si="1"/>
        <v>96</v>
      </c>
    </row>
    <row r="81" spans="1:16" ht="28.5">
      <c r="A81" s="22">
        <v>79</v>
      </c>
      <c r="B81" s="75" t="s">
        <v>129</v>
      </c>
      <c r="C81" s="76"/>
      <c r="D81" s="84" t="s">
        <v>130</v>
      </c>
      <c r="E81" s="78"/>
      <c r="F81" s="79">
        <v>40</v>
      </c>
      <c r="G81" s="80">
        <f t="shared" si="12"/>
        <v>17400</v>
      </c>
      <c r="H81" s="81">
        <v>435</v>
      </c>
      <c r="I81" s="85"/>
      <c r="J81" s="59"/>
      <c r="K81" s="57"/>
      <c r="L81" s="33">
        <f>480-80-320</f>
        <v>80</v>
      </c>
      <c r="M81" s="34">
        <v>320</v>
      </c>
      <c r="N81" s="43">
        <v>35</v>
      </c>
      <c r="O81" s="66"/>
      <c r="P81" s="37">
        <f t="shared" si="1"/>
        <v>435</v>
      </c>
    </row>
    <row r="82" spans="1:16" ht="28.5">
      <c r="A82" s="22">
        <v>80</v>
      </c>
      <c r="B82" s="75" t="s">
        <v>131</v>
      </c>
      <c r="C82" s="76"/>
      <c r="D82" s="87"/>
      <c r="E82" s="78"/>
      <c r="F82" s="81">
        <v>2.8</v>
      </c>
      <c r="G82" s="80">
        <f t="shared" si="12"/>
        <v>700</v>
      </c>
      <c r="H82" s="81">
        <v>250</v>
      </c>
      <c r="I82" s="85"/>
      <c r="J82" s="59"/>
      <c r="K82" s="57"/>
      <c r="L82" s="33"/>
      <c r="M82" s="34"/>
      <c r="N82" s="43">
        <v>250</v>
      </c>
      <c r="O82" s="66"/>
      <c r="P82" s="37">
        <f t="shared" si="1"/>
        <v>250</v>
      </c>
    </row>
    <row r="83" spans="1:16" ht="28.5">
      <c r="A83" s="38">
        <v>81</v>
      </c>
      <c r="B83" s="75" t="s">
        <v>132</v>
      </c>
      <c r="C83" s="76"/>
      <c r="D83" s="87"/>
      <c r="E83" s="78"/>
      <c r="F83" s="81">
        <v>16.03</v>
      </c>
      <c r="G83" s="80">
        <f t="shared" si="12"/>
        <v>1603</v>
      </c>
      <c r="H83" s="81">
        <v>100</v>
      </c>
      <c r="I83" s="85"/>
      <c r="J83" s="59"/>
      <c r="K83" s="57"/>
      <c r="L83" s="33"/>
      <c r="M83" s="34">
        <v>100</v>
      </c>
      <c r="N83" s="43"/>
      <c r="O83" s="66"/>
      <c r="P83" s="37">
        <f t="shared" si="1"/>
        <v>100</v>
      </c>
    </row>
    <row r="84" spans="1:16" ht="42.75">
      <c r="A84" s="22">
        <v>82</v>
      </c>
      <c r="B84" s="75" t="s">
        <v>133</v>
      </c>
      <c r="C84" s="76"/>
      <c r="D84" s="84" t="s">
        <v>134</v>
      </c>
      <c r="E84" s="78"/>
      <c r="F84" s="81">
        <v>87</v>
      </c>
      <c r="G84" s="80">
        <f t="shared" si="12"/>
        <v>69600</v>
      </c>
      <c r="H84" s="81">
        <v>800</v>
      </c>
      <c r="I84" s="85"/>
      <c r="J84" s="59"/>
      <c r="K84" s="57"/>
      <c r="L84" s="33"/>
      <c r="M84" s="34">
        <v>800</v>
      </c>
      <c r="N84" s="43"/>
      <c r="O84" s="66"/>
      <c r="P84" s="37">
        <f t="shared" si="1"/>
        <v>800</v>
      </c>
    </row>
    <row r="85" spans="1:16" ht="57">
      <c r="A85" s="22">
        <v>83</v>
      </c>
      <c r="B85" s="75" t="s">
        <v>135</v>
      </c>
      <c r="C85" s="76" t="s">
        <v>118</v>
      </c>
      <c r="D85" s="87"/>
      <c r="E85" s="78">
        <v>46357</v>
      </c>
      <c r="F85" s="81">
        <v>2.8</v>
      </c>
      <c r="G85" s="80">
        <f t="shared" si="12"/>
        <v>1400</v>
      </c>
      <c r="H85" s="81">
        <v>500</v>
      </c>
      <c r="I85" s="85"/>
      <c r="J85" s="59"/>
      <c r="K85" s="57"/>
      <c r="L85" s="33">
        <f>10*50</f>
        <v>500</v>
      </c>
      <c r="M85" s="34"/>
      <c r="N85" s="43"/>
      <c r="O85" s="66"/>
      <c r="P85" s="37">
        <f t="shared" si="1"/>
        <v>500</v>
      </c>
    </row>
    <row r="86" spans="1:16" ht="28.5">
      <c r="A86" s="22">
        <v>84</v>
      </c>
      <c r="B86" s="88" t="s">
        <v>136</v>
      </c>
      <c r="C86" s="76" t="s">
        <v>118</v>
      </c>
      <c r="D86" s="87"/>
      <c r="E86" s="78">
        <v>46327</v>
      </c>
      <c r="F86" s="81">
        <v>1.55</v>
      </c>
      <c r="G86" s="80">
        <f t="shared" si="12"/>
        <v>1311.3</v>
      </c>
      <c r="H86" s="81">
        <v>846</v>
      </c>
      <c r="I86" s="85"/>
      <c r="J86" s="59"/>
      <c r="K86" s="57"/>
      <c r="L86" s="33">
        <v>0</v>
      </c>
      <c r="M86" s="34">
        <v>846</v>
      </c>
      <c r="N86" s="43"/>
      <c r="O86" s="36"/>
      <c r="P86" s="37">
        <f t="shared" si="1"/>
        <v>846</v>
      </c>
    </row>
    <row r="87" spans="1:16" ht="28.5">
      <c r="A87" s="22">
        <v>85</v>
      </c>
      <c r="B87" s="75" t="s">
        <v>137</v>
      </c>
      <c r="C87" s="76" t="s">
        <v>118</v>
      </c>
      <c r="D87" s="87"/>
      <c r="E87" s="78">
        <v>46023</v>
      </c>
      <c r="F87" s="81">
        <v>15.94</v>
      </c>
      <c r="G87" s="89">
        <f t="shared" si="12"/>
        <v>302.86</v>
      </c>
      <c r="H87" s="81">
        <v>19</v>
      </c>
      <c r="I87" s="85"/>
      <c r="J87" s="59"/>
      <c r="K87" s="57"/>
      <c r="L87" s="33">
        <v>0</v>
      </c>
      <c r="M87" s="34">
        <v>19</v>
      </c>
      <c r="N87" s="43"/>
      <c r="O87" s="36"/>
      <c r="P87" s="37">
        <f t="shared" si="1"/>
        <v>19</v>
      </c>
    </row>
    <row r="88" spans="1:16" ht="14.25">
      <c r="A88" s="22">
        <v>86</v>
      </c>
      <c r="B88" s="90" t="s">
        <v>138</v>
      </c>
      <c r="C88" s="76" t="s">
        <v>118</v>
      </c>
      <c r="D88" s="87"/>
      <c r="E88" s="78">
        <v>46023</v>
      </c>
      <c r="F88" s="81">
        <v>31.55</v>
      </c>
      <c r="G88" s="80">
        <f t="shared" si="12"/>
        <v>63.1</v>
      </c>
      <c r="H88" s="81">
        <v>2</v>
      </c>
      <c r="I88" s="85"/>
      <c r="J88" s="59"/>
      <c r="K88" s="57"/>
      <c r="L88" s="33">
        <v>0</v>
      </c>
      <c r="M88" s="34">
        <v>2</v>
      </c>
      <c r="N88" s="35"/>
      <c r="O88" s="36"/>
      <c r="P88" s="37">
        <f t="shared" si="1"/>
        <v>2</v>
      </c>
    </row>
    <row r="89" spans="1:16" ht="14.25">
      <c r="A89" s="22">
        <v>87</v>
      </c>
      <c r="B89" s="90" t="s">
        <v>139</v>
      </c>
      <c r="C89" s="76" t="s">
        <v>118</v>
      </c>
      <c r="D89" s="87"/>
      <c r="E89" s="78">
        <v>46023</v>
      </c>
      <c r="F89" s="81">
        <v>53.39</v>
      </c>
      <c r="G89" s="80">
        <f t="shared" si="12"/>
        <v>53.39</v>
      </c>
      <c r="H89" s="81">
        <v>1</v>
      </c>
      <c r="I89" s="85"/>
      <c r="J89" s="59"/>
      <c r="K89" s="57"/>
      <c r="L89" s="33">
        <v>0</v>
      </c>
      <c r="M89" s="34">
        <v>1</v>
      </c>
      <c r="N89" s="35"/>
      <c r="O89" s="36"/>
      <c r="P89" s="37">
        <f t="shared" si="1"/>
        <v>1</v>
      </c>
    </row>
    <row r="90" spans="1:16" ht="42.75">
      <c r="A90" s="22">
        <v>88</v>
      </c>
      <c r="B90" s="90" t="s">
        <v>140</v>
      </c>
      <c r="C90" s="76" t="s">
        <v>118</v>
      </c>
      <c r="D90" s="87"/>
      <c r="E90" s="78">
        <v>46357</v>
      </c>
      <c r="F90" s="79">
        <v>5</v>
      </c>
      <c r="G90" s="80">
        <f t="shared" si="12"/>
        <v>115</v>
      </c>
      <c r="H90" s="81">
        <v>23</v>
      </c>
      <c r="I90" s="91"/>
      <c r="J90" s="59"/>
      <c r="K90" s="59"/>
      <c r="L90" s="45">
        <v>0</v>
      </c>
      <c r="M90" s="34">
        <v>13</v>
      </c>
      <c r="N90" s="35">
        <v>10</v>
      </c>
      <c r="O90" s="36"/>
      <c r="P90" s="37">
        <f t="shared" si="1"/>
        <v>23</v>
      </c>
    </row>
    <row r="91" spans="1:16" ht="28.5">
      <c r="A91" s="22">
        <v>89</v>
      </c>
      <c r="B91" s="90" t="s">
        <v>141</v>
      </c>
      <c r="C91" s="92" t="s">
        <v>118</v>
      </c>
      <c r="D91" s="87"/>
      <c r="E91" s="78"/>
      <c r="F91" s="81">
        <v>7.46</v>
      </c>
      <c r="G91" s="80">
        <f t="shared" si="12"/>
        <v>141.74</v>
      </c>
      <c r="H91" s="81">
        <v>19</v>
      </c>
      <c r="I91" s="91"/>
      <c r="J91" s="31"/>
      <c r="K91" s="32"/>
      <c r="L91" s="33">
        <v>17</v>
      </c>
      <c r="M91" s="34"/>
      <c r="N91" s="35">
        <v>2</v>
      </c>
      <c r="O91" s="36"/>
      <c r="P91" s="37">
        <f t="shared" si="1"/>
        <v>19</v>
      </c>
    </row>
    <row r="92" spans="1:16" ht="28.5">
      <c r="A92" s="38">
        <v>90</v>
      </c>
      <c r="B92" s="90" t="s">
        <v>141</v>
      </c>
      <c r="C92" s="92" t="s">
        <v>118</v>
      </c>
      <c r="D92" s="87"/>
      <c r="E92" s="78"/>
      <c r="F92" s="81">
        <v>7.58</v>
      </c>
      <c r="G92" s="80">
        <f t="shared" si="12"/>
        <v>7.58</v>
      </c>
      <c r="H92" s="81">
        <v>1</v>
      </c>
      <c r="I92" s="91"/>
      <c r="J92" s="31"/>
      <c r="K92" s="32"/>
      <c r="L92" s="33">
        <v>0</v>
      </c>
      <c r="M92" s="34">
        <v>0</v>
      </c>
      <c r="N92" s="35">
        <v>1</v>
      </c>
      <c r="O92" s="36"/>
      <c r="P92" s="37">
        <f t="shared" si="1"/>
        <v>1</v>
      </c>
    </row>
    <row r="93" spans="1:16" ht="28.5">
      <c r="A93" s="22">
        <v>91</v>
      </c>
      <c r="B93" s="93" t="s">
        <v>142</v>
      </c>
      <c r="C93" s="92" t="s">
        <v>118</v>
      </c>
      <c r="D93" s="87"/>
      <c r="E93" s="78">
        <v>47939</v>
      </c>
      <c r="F93" s="81">
        <v>8.24</v>
      </c>
      <c r="G93" s="80">
        <f t="shared" si="12"/>
        <v>173.04</v>
      </c>
      <c r="H93" s="81">
        <v>21</v>
      </c>
      <c r="I93" s="91"/>
      <c r="J93" s="31"/>
      <c r="K93" s="32"/>
      <c r="L93" s="33">
        <v>20</v>
      </c>
      <c r="M93" s="34">
        <v>1</v>
      </c>
      <c r="N93" s="35"/>
      <c r="O93" s="36"/>
      <c r="P93" s="37">
        <f t="shared" si="1"/>
        <v>21</v>
      </c>
    </row>
    <row r="94" spans="1:16" ht="42.75">
      <c r="A94" s="22">
        <v>92</v>
      </c>
      <c r="B94" s="94" t="s">
        <v>143</v>
      </c>
      <c r="C94" s="76" t="s">
        <v>118</v>
      </c>
      <c r="D94" s="87"/>
      <c r="E94" s="78">
        <v>64193</v>
      </c>
      <c r="F94" s="81">
        <v>21.2</v>
      </c>
      <c r="G94" s="80">
        <f t="shared" si="12"/>
        <v>2332</v>
      </c>
      <c r="H94" s="81">
        <v>110</v>
      </c>
      <c r="I94" s="91"/>
      <c r="J94" s="31"/>
      <c r="K94" s="32"/>
      <c r="L94" s="45">
        <v>110</v>
      </c>
      <c r="M94" s="34"/>
      <c r="N94" s="43"/>
      <c r="O94" s="36"/>
      <c r="P94" s="37">
        <f t="shared" si="1"/>
        <v>110</v>
      </c>
    </row>
    <row r="95" spans="1:16" ht="28.5">
      <c r="A95" s="38">
        <v>93</v>
      </c>
      <c r="B95" s="94" t="s">
        <v>144</v>
      </c>
      <c r="C95" s="76" t="s">
        <v>118</v>
      </c>
      <c r="D95" s="87"/>
      <c r="E95" s="78">
        <v>46447</v>
      </c>
      <c r="F95" s="81">
        <v>11.15</v>
      </c>
      <c r="G95" s="89">
        <f t="shared" si="12"/>
        <v>735.9</v>
      </c>
      <c r="H95" s="81">
        <v>66</v>
      </c>
      <c r="I95" s="91"/>
      <c r="J95" s="31"/>
      <c r="K95" s="32"/>
      <c r="L95" s="45">
        <f>80-20-10</f>
        <v>50</v>
      </c>
      <c r="M95" s="34">
        <v>9</v>
      </c>
      <c r="N95" s="43">
        <v>7</v>
      </c>
      <c r="O95" s="36"/>
      <c r="P95" s="37">
        <f t="shared" si="1"/>
        <v>66</v>
      </c>
    </row>
    <row r="96" spans="1:16" ht="42.75">
      <c r="A96" s="22">
        <v>94</v>
      </c>
      <c r="B96" s="94" t="s">
        <v>145</v>
      </c>
      <c r="C96" s="76" t="s">
        <v>118</v>
      </c>
      <c r="D96" s="84" t="s">
        <v>122</v>
      </c>
      <c r="E96" s="78"/>
      <c r="F96" s="81">
        <v>3.75</v>
      </c>
      <c r="G96" s="80">
        <f t="shared" si="12"/>
        <v>1312.5</v>
      </c>
      <c r="H96" s="81">
        <v>350</v>
      </c>
      <c r="I96" s="91"/>
      <c r="J96" s="31"/>
      <c r="K96" s="32"/>
      <c r="L96" s="33">
        <v>0</v>
      </c>
      <c r="M96" s="34"/>
      <c r="N96" s="43">
        <v>350</v>
      </c>
      <c r="O96" s="36"/>
      <c r="P96" s="37">
        <f t="shared" si="1"/>
        <v>350</v>
      </c>
    </row>
    <row r="97" spans="1:16" ht="28.5">
      <c r="A97" s="22">
        <v>95</v>
      </c>
      <c r="B97" s="94" t="s">
        <v>146</v>
      </c>
      <c r="C97" s="76" t="s">
        <v>118</v>
      </c>
      <c r="D97" s="84"/>
      <c r="E97" s="78">
        <v>46235</v>
      </c>
      <c r="F97" s="81">
        <v>3.8519999999999999</v>
      </c>
      <c r="G97" s="80">
        <f t="shared" si="12"/>
        <v>5970.5999999999995</v>
      </c>
      <c r="H97" s="81">
        <v>1550</v>
      </c>
      <c r="I97" s="91"/>
      <c r="J97" s="31"/>
      <c r="K97" s="32"/>
      <c r="L97" s="33">
        <v>1300</v>
      </c>
      <c r="M97" s="34"/>
      <c r="N97" s="43">
        <v>250</v>
      </c>
      <c r="O97" s="36"/>
      <c r="P97" s="37">
        <f t="shared" si="1"/>
        <v>1550</v>
      </c>
    </row>
    <row r="98" spans="1:16" ht="42.75">
      <c r="A98" s="22">
        <v>96</v>
      </c>
      <c r="B98" s="94" t="s">
        <v>147</v>
      </c>
      <c r="C98" s="76" t="s">
        <v>118</v>
      </c>
      <c r="D98" s="84" t="s">
        <v>148</v>
      </c>
      <c r="E98" s="78"/>
      <c r="F98" s="81">
        <v>0.33</v>
      </c>
      <c r="G98" s="80">
        <f t="shared" si="12"/>
        <v>23.1</v>
      </c>
      <c r="H98" s="81">
        <v>70</v>
      </c>
      <c r="I98" s="91"/>
      <c r="J98" s="31"/>
      <c r="K98" s="32"/>
      <c r="L98" s="33">
        <v>0</v>
      </c>
      <c r="M98" s="34">
        <v>70</v>
      </c>
      <c r="N98" s="43"/>
      <c r="O98" s="36"/>
      <c r="P98" s="37">
        <f t="shared" si="1"/>
        <v>70</v>
      </c>
    </row>
    <row r="99" spans="1:16" ht="42.75">
      <c r="A99" s="22">
        <v>97</v>
      </c>
      <c r="B99" s="94" t="s">
        <v>149</v>
      </c>
      <c r="C99" s="76" t="s">
        <v>118</v>
      </c>
      <c r="D99" s="84"/>
      <c r="E99" s="78">
        <v>47574</v>
      </c>
      <c r="F99" s="81">
        <v>2.2469999999999999</v>
      </c>
      <c r="G99" s="80">
        <f t="shared" si="12"/>
        <v>6741</v>
      </c>
      <c r="H99" s="81">
        <v>3000</v>
      </c>
      <c r="I99" s="95"/>
      <c r="J99" s="96"/>
      <c r="K99" s="32"/>
      <c r="L99" s="33">
        <v>3000</v>
      </c>
      <c r="M99" s="34"/>
      <c r="N99" s="35"/>
      <c r="O99" s="36"/>
      <c r="P99" s="37">
        <f t="shared" si="1"/>
        <v>3000</v>
      </c>
    </row>
    <row r="100" spans="1:16" ht="28.5">
      <c r="A100" s="22">
        <v>98</v>
      </c>
      <c r="B100" s="94" t="s">
        <v>150</v>
      </c>
      <c r="C100" s="76" t="s">
        <v>20</v>
      </c>
      <c r="D100" s="84" t="s">
        <v>151</v>
      </c>
      <c r="E100" s="78">
        <v>46600</v>
      </c>
      <c r="F100" s="81">
        <v>74.900000000000006</v>
      </c>
      <c r="G100" s="80">
        <f t="shared" si="12"/>
        <v>749</v>
      </c>
      <c r="H100" s="81">
        <v>10</v>
      </c>
      <c r="I100" s="95">
        <v>2000</v>
      </c>
      <c r="J100" s="96"/>
      <c r="K100" s="32"/>
      <c r="L100" s="33">
        <v>2000</v>
      </c>
      <c r="M100" s="34"/>
      <c r="N100" s="35"/>
      <c r="O100" s="36"/>
      <c r="P100" s="37">
        <f t="shared" si="1"/>
        <v>2000</v>
      </c>
    </row>
    <row r="101" spans="1:16" ht="14.25">
      <c r="A101" s="22">
        <v>99</v>
      </c>
      <c r="B101" s="94" t="s">
        <v>152</v>
      </c>
      <c r="C101" s="76" t="s">
        <v>118</v>
      </c>
      <c r="D101" s="84"/>
      <c r="E101" s="78"/>
      <c r="F101" s="81">
        <v>57.37</v>
      </c>
      <c r="G101" s="89">
        <f t="shared" si="12"/>
        <v>2294.7999999999997</v>
      </c>
      <c r="H101" s="81">
        <v>40</v>
      </c>
      <c r="I101" s="95"/>
      <c r="J101" s="96"/>
      <c r="K101" s="32"/>
      <c r="L101" s="33">
        <v>40</v>
      </c>
      <c r="M101" s="34">
        <v>1</v>
      </c>
      <c r="N101" s="35"/>
      <c r="O101" s="36"/>
      <c r="P101" s="37">
        <f t="shared" si="1"/>
        <v>41</v>
      </c>
    </row>
    <row r="102" spans="1:16" ht="14.25">
      <c r="A102" s="22">
        <v>100</v>
      </c>
      <c r="B102" s="94" t="s">
        <v>153</v>
      </c>
      <c r="C102" s="76" t="s">
        <v>118</v>
      </c>
      <c r="D102" s="84"/>
      <c r="E102" s="78">
        <v>45992</v>
      </c>
      <c r="F102" s="81">
        <v>0.48</v>
      </c>
      <c r="G102" s="80">
        <f t="shared" si="12"/>
        <v>1161.5999999999999</v>
      </c>
      <c r="H102" s="81">
        <v>2420</v>
      </c>
      <c r="I102" s="95"/>
      <c r="J102" s="96"/>
      <c r="K102" s="32"/>
      <c r="L102" s="33">
        <f>150*100-90*100-60*100</f>
        <v>0</v>
      </c>
      <c r="M102" s="34">
        <v>0</v>
      </c>
      <c r="N102" s="35">
        <v>2420</v>
      </c>
      <c r="O102" s="36"/>
      <c r="P102" s="37">
        <f t="shared" si="1"/>
        <v>2420</v>
      </c>
    </row>
    <row r="103" spans="1:16" ht="28.5">
      <c r="A103" s="22">
        <v>101</v>
      </c>
      <c r="B103" s="94" t="s">
        <v>154</v>
      </c>
      <c r="C103" s="76" t="s">
        <v>20</v>
      </c>
      <c r="D103" s="84" t="s">
        <v>122</v>
      </c>
      <c r="E103" s="78">
        <v>45992</v>
      </c>
      <c r="F103" s="79">
        <v>45</v>
      </c>
      <c r="G103" s="80">
        <f t="shared" si="12"/>
        <v>45</v>
      </c>
      <c r="H103" s="81">
        <v>1</v>
      </c>
      <c r="I103" s="85">
        <v>53</v>
      </c>
      <c r="J103" s="31"/>
      <c r="K103" s="32"/>
      <c r="L103" s="33">
        <v>0</v>
      </c>
      <c r="M103" s="34">
        <v>53</v>
      </c>
      <c r="N103" s="35"/>
      <c r="O103" s="36"/>
      <c r="P103" s="37">
        <f t="shared" si="1"/>
        <v>53</v>
      </c>
    </row>
    <row r="104" spans="1:16" ht="28.5">
      <c r="A104" s="38">
        <v>102</v>
      </c>
      <c r="B104" s="94" t="s">
        <v>155</v>
      </c>
      <c r="C104" s="76" t="s">
        <v>20</v>
      </c>
      <c r="D104" s="84" t="s">
        <v>122</v>
      </c>
      <c r="E104" s="78">
        <v>47270</v>
      </c>
      <c r="F104" s="79">
        <v>49</v>
      </c>
      <c r="G104" s="80">
        <f t="shared" si="12"/>
        <v>4557</v>
      </c>
      <c r="H104" s="81">
        <v>93</v>
      </c>
      <c r="I104" s="85">
        <v>9300</v>
      </c>
      <c r="J104" s="31"/>
      <c r="K104" s="32"/>
      <c r="L104" s="33">
        <f>100*100-10*100</f>
        <v>9000</v>
      </c>
      <c r="M104" s="34">
        <v>300</v>
      </c>
      <c r="N104" s="35"/>
      <c r="O104" s="36"/>
      <c r="P104" s="37">
        <f t="shared" si="1"/>
        <v>9300</v>
      </c>
    </row>
    <row r="105" spans="1:16" ht="42.75">
      <c r="A105" s="22">
        <v>103</v>
      </c>
      <c r="B105" s="94" t="s">
        <v>156</v>
      </c>
      <c r="C105" s="76" t="s">
        <v>157</v>
      </c>
      <c r="D105" s="84"/>
      <c r="E105" s="78">
        <v>46388</v>
      </c>
      <c r="F105" s="81">
        <v>9.75</v>
      </c>
      <c r="G105" s="80">
        <f t="shared" si="12"/>
        <v>0</v>
      </c>
      <c r="H105" s="81">
        <v>0</v>
      </c>
      <c r="I105" s="97"/>
      <c r="J105" s="31"/>
      <c r="K105" s="32"/>
      <c r="L105" s="33">
        <v>0</v>
      </c>
      <c r="M105" s="34">
        <v>0</v>
      </c>
      <c r="N105" s="35">
        <v>0</v>
      </c>
      <c r="O105" s="36"/>
      <c r="P105" s="37">
        <f t="shared" si="1"/>
        <v>0</v>
      </c>
    </row>
    <row r="106" spans="1:16" ht="31.5" customHeight="1">
      <c r="A106" s="22">
        <v>104</v>
      </c>
      <c r="B106" s="98" t="s">
        <v>158</v>
      </c>
      <c r="C106" s="76" t="s">
        <v>157</v>
      </c>
      <c r="D106" s="87"/>
      <c r="E106" s="86">
        <v>47331</v>
      </c>
      <c r="F106" s="79">
        <v>6.89</v>
      </c>
      <c r="G106" s="80">
        <f t="shared" si="12"/>
        <v>17038.969999999998</v>
      </c>
      <c r="H106" s="81">
        <v>2473</v>
      </c>
      <c r="I106" s="91"/>
      <c r="J106" s="59"/>
      <c r="K106" s="57"/>
      <c r="L106" s="33">
        <f>3009-600-609-400</f>
        <v>1400</v>
      </c>
      <c r="M106" s="34">
        <v>485</v>
      </c>
      <c r="N106" s="35">
        <v>588</v>
      </c>
      <c r="O106" s="36"/>
      <c r="P106" s="37">
        <f t="shared" si="1"/>
        <v>2473</v>
      </c>
    </row>
    <row r="107" spans="1:16" ht="31.5" customHeight="1">
      <c r="A107" s="22">
        <v>105</v>
      </c>
      <c r="B107" s="99" t="s">
        <v>159</v>
      </c>
      <c r="C107" s="76" t="s">
        <v>157</v>
      </c>
      <c r="D107" s="87"/>
      <c r="E107" s="86">
        <v>46327</v>
      </c>
      <c r="F107" s="79">
        <v>5.2</v>
      </c>
      <c r="G107" s="80">
        <f t="shared" si="12"/>
        <v>7051.2</v>
      </c>
      <c r="H107" s="81">
        <v>1356</v>
      </c>
      <c r="I107" s="91"/>
      <c r="J107" s="59"/>
      <c r="K107" s="57"/>
      <c r="L107" s="33">
        <f>4500-1000-500-1000-500-500</f>
        <v>1000</v>
      </c>
      <c r="M107" s="34">
        <v>230</v>
      </c>
      <c r="N107" s="35">
        <v>126</v>
      </c>
      <c r="O107" s="36"/>
      <c r="P107" s="37">
        <f t="shared" si="1"/>
        <v>1356</v>
      </c>
    </row>
    <row r="108" spans="1:16" ht="14.25" hidden="1">
      <c r="A108" s="22"/>
      <c r="B108" s="94"/>
      <c r="C108" s="76"/>
      <c r="D108" s="87"/>
      <c r="E108" s="78"/>
      <c r="F108" s="79"/>
      <c r="G108" s="80"/>
      <c r="H108" s="81"/>
      <c r="I108" s="91"/>
      <c r="J108" s="31"/>
      <c r="K108" s="32"/>
      <c r="L108" s="33"/>
      <c r="M108" s="42"/>
      <c r="N108" s="43"/>
      <c r="O108" s="36"/>
      <c r="P108" s="37"/>
    </row>
    <row r="109" spans="1:16" ht="28.5">
      <c r="A109" s="22">
        <v>106</v>
      </c>
      <c r="B109" s="94" t="s">
        <v>160</v>
      </c>
      <c r="C109" s="76" t="s">
        <v>157</v>
      </c>
      <c r="D109" s="87"/>
      <c r="E109" s="78">
        <v>46357</v>
      </c>
      <c r="F109" s="79">
        <v>1.8855999999999999</v>
      </c>
      <c r="G109" s="80">
        <f t="shared" ref="G109:G146" si="14">F109*H109</f>
        <v>565.67999999999995</v>
      </c>
      <c r="H109" s="81">
        <v>300</v>
      </c>
      <c r="I109" s="91"/>
      <c r="J109" s="31"/>
      <c r="K109" s="32"/>
      <c r="L109" s="33">
        <f>6*50</f>
        <v>300</v>
      </c>
      <c r="M109" s="42">
        <v>0</v>
      </c>
      <c r="N109" s="43">
        <v>0</v>
      </c>
      <c r="O109" s="36"/>
      <c r="P109" s="37">
        <f t="shared" ref="P109:P125" si="15">L109+M109+N109</f>
        <v>300</v>
      </c>
    </row>
    <row r="110" spans="1:16" ht="14.25">
      <c r="A110" s="22">
        <v>107</v>
      </c>
      <c r="B110" s="94" t="s">
        <v>161</v>
      </c>
      <c r="C110" s="76" t="s">
        <v>118</v>
      </c>
      <c r="D110" s="87"/>
      <c r="E110" s="78">
        <v>46023</v>
      </c>
      <c r="F110" s="80">
        <v>1.1000000000000001</v>
      </c>
      <c r="G110" s="80">
        <f t="shared" si="14"/>
        <v>1149.5</v>
      </c>
      <c r="H110" s="81">
        <v>1045</v>
      </c>
      <c r="I110" s="91"/>
      <c r="J110" s="31"/>
      <c r="K110" s="32"/>
      <c r="L110" s="33">
        <v>0</v>
      </c>
      <c r="M110" s="42">
        <v>545</v>
      </c>
      <c r="N110" s="43">
        <v>500</v>
      </c>
      <c r="O110" s="36"/>
      <c r="P110" s="37">
        <f t="shared" si="15"/>
        <v>1045</v>
      </c>
    </row>
    <row r="111" spans="1:16" ht="28.5">
      <c r="A111" s="22">
        <v>108</v>
      </c>
      <c r="B111" s="100" t="s">
        <v>162</v>
      </c>
      <c r="C111" s="76" t="s">
        <v>118</v>
      </c>
      <c r="D111" s="87"/>
      <c r="E111" s="78">
        <v>46419</v>
      </c>
      <c r="F111" s="79">
        <v>79</v>
      </c>
      <c r="G111" s="80">
        <f t="shared" si="14"/>
        <v>6952</v>
      </c>
      <c r="H111" s="81">
        <v>88</v>
      </c>
      <c r="I111" s="91"/>
      <c r="J111" s="31"/>
      <c r="K111" s="31"/>
      <c r="L111" s="33">
        <v>0</v>
      </c>
      <c r="M111" s="34">
        <v>88</v>
      </c>
      <c r="N111" s="35"/>
      <c r="O111" s="36"/>
      <c r="P111" s="37">
        <f t="shared" si="15"/>
        <v>88</v>
      </c>
    </row>
    <row r="112" spans="1:16" ht="28.5">
      <c r="A112" s="22">
        <v>109</v>
      </c>
      <c r="B112" s="94" t="s">
        <v>163</v>
      </c>
      <c r="C112" s="76" t="s">
        <v>118</v>
      </c>
      <c r="D112" s="87"/>
      <c r="E112" s="78"/>
      <c r="F112" s="79">
        <v>1</v>
      </c>
      <c r="G112" s="80">
        <f t="shared" si="14"/>
        <v>0</v>
      </c>
      <c r="H112" s="81">
        <v>0</v>
      </c>
      <c r="I112" s="85"/>
      <c r="J112" s="96"/>
      <c r="K112" s="32"/>
      <c r="L112" s="45">
        <v>0</v>
      </c>
      <c r="M112" s="34">
        <v>0</v>
      </c>
      <c r="N112" s="43"/>
      <c r="O112" s="36"/>
      <c r="P112" s="37">
        <f t="shared" si="15"/>
        <v>0</v>
      </c>
    </row>
    <row r="113" spans="1:16" ht="14.25">
      <c r="A113" s="38">
        <v>110</v>
      </c>
      <c r="B113" s="94" t="s">
        <v>164</v>
      </c>
      <c r="C113" s="76" t="s">
        <v>118</v>
      </c>
      <c r="D113" s="87"/>
      <c r="E113" s="78">
        <v>47300</v>
      </c>
      <c r="F113" s="81">
        <v>3.1030000000000002</v>
      </c>
      <c r="G113" s="80">
        <f t="shared" si="14"/>
        <v>12002.404</v>
      </c>
      <c r="H113" s="81">
        <v>3868</v>
      </c>
      <c r="I113" s="85"/>
      <c r="J113" s="96"/>
      <c r="K113" s="32"/>
      <c r="L113" s="45">
        <v>0</v>
      </c>
      <c r="M113" s="34"/>
      <c r="N113" s="43">
        <v>3868</v>
      </c>
      <c r="O113" s="36"/>
      <c r="P113" s="37">
        <f t="shared" si="15"/>
        <v>3868</v>
      </c>
    </row>
    <row r="114" spans="1:16" ht="28.5">
      <c r="A114" s="38">
        <v>111</v>
      </c>
      <c r="B114" s="94" t="s">
        <v>165</v>
      </c>
      <c r="C114" s="76" t="s">
        <v>118</v>
      </c>
      <c r="D114" s="87"/>
      <c r="E114" s="78">
        <v>47515</v>
      </c>
      <c r="F114" s="81">
        <v>3.5310000000000001</v>
      </c>
      <c r="G114" s="80">
        <f t="shared" si="14"/>
        <v>176.55</v>
      </c>
      <c r="H114" s="81">
        <v>50</v>
      </c>
      <c r="I114" s="85"/>
      <c r="J114" s="96"/>
      <c r="K114" s="32"/>
      <c r="L114" s="45">
        <v>50</v>
      </c>
      <c r="M114" s="34"/>
      <c r="N114" s="43"/>
      <c r="O114" s="36"/>
      <c r="P114" s="37">
        <f t="shared" si="15"/>
        <v>50</v>
      </c>
    </row>
    <row r="115" spans="1:16" ht="28.5">
      <c r="A115" s="38">
        <v>112</v>
      </c>
      <c r="B115" s="94" t="s">
        <v>166</v>
      </c>
      <c r="C115" s="76" t="s">
        <v>118</v>
      </c>
      <c r="D115" s="87"/>
      <c r="E115" s="78">
        <v>46296</v>
      </c>
      <c r="F115" s="81">
        <v>0.89</v>
      </c>
      <c r="G115" s="80">
        <f t="shared" si="14"/>
        <v>2225</v>
      </c>
      <c r="H115" s="81">
        <v>2500</v>
      </c>
      <c r="I115" s="85"/>
      <c r="J115" s="96"/>
      <c r="K115" s="32"/>
      <c r="L115" s="45">
        <f>2500</f>
        <v>2500</v>
      </c>
      <c r="M115" s="34"/>
      <c r="N115" s="43">
        <v>0</v>
      </c>
      <c r="O115" s="36"/>
      <c r="P115" s="37">
        <f t="shared" si="15"/>
        <v>2500</v>
      </c>
    </row>
    <row r="116" spans="1:16" ht="28.5">
      <c r="A116" s="22">
        <v>113</v>
      </c>
      <c r="B116" s="94" t="s">
        <v>167</v>
      </c>
      <c r="C116" s="76" t="s">
        <v>118</v>
      </c>
      <c r="D116" s="87"/>
      <c r="E116" s="78">
        <v>47453</v>
      </c>
      <c r="F116" s="81">
        <v>1.498</v>
      </c>
      <c r="G116" s="80">
        <f t="shared" si="14"/>
        <v>4134.4799999999996</v>
      </c>
      <c r="H116" s="81">
        <v>2760</v>
      </c>
      <c r="I116" s="85"/>
      <c r="J116" s="96"/>
      <c r="K116" s="32"/>
      <c r="L116" s="33">
        <f>3000-500</f>
        <v>2500</v>
      </c>
      <c r="M116" s="34">
        <v>260</v>
      </c>
      <c r="N116" s="35"/>
      <c r="O116" s="36"/>
      <c r="P116" s="37">
        <f t="shared" si="15"/>
        <v>2760</v>
      </c>
    </row>
    <row r="117" spans="1:16" ht="14.25">
      <c r="A117" s="22">
        <v>114</v>
      </c>
      <c r="B117" s="94" t="s">
        <v>168</v>
      </c>
      <c r="C117" s="76" t="s">
        <v>118</v>
      </c>
      <c r="D117" s="87"/>
      <c r="E117" s="78">
        <v>46874</v>
      </c>
      <c r="F117" s="81">
        <v>1.65</v>
      </c>
      <c r="G117" s="89">
        <f t="shared" si="14"/>
        <v>321.75</v>
      </c>
      <c r="H117" s="81">
        <v>195</v>
      </c>
      <c r="I117" s="85"/>
      <c r="J117" s="96"/>
      <c r="K117" s="32"/>
      <c r="L117" s="33">
        <f>2400-1200-1200</f>
        <v>0</v>
      </c>
      <c r="M117" s="34">
        <v>0</v>
      </c>
      <c r="N117" s="35">
        <v>195</v>
      </c>
      <c r="O117" s="36"/>
      <c r="P117" s="37">
        <f t="shared" si="15"/>
        <v>195</v>
      </c>
    </row>
    <row r="118" spans="1:16" ht="28.5">
      <c r="A118" s="22">
        <v>115</v>
      </c>
      <c r="B118" s="94" t="s">
        <v>169</v>
      </c>
      <c r="C118" s="76" t="s">
        <v>118</v>
      </c>
      <c r="D118" s="87"/>
      <c r="E118" s="78"/>
      <c r="F118" s="81">
        <v>11.984</v>
      </c>
      <c r="G118" s="80">
        <f t="shared" si="14"/>
        <v>59.92</v>
      </c>
      <c r="H118" s="81">
        <v>5</v>
      </c>
      <c r="I118" s="91"/>
      <c r="J118" s="31"/>
      <c r="K118" s="32"/>
      <c r="L118" s="33"/>
      <c r="M118" s="34">
        <v>0</v>
      </c>
      <c r="N118" s="35">
        <v>5</v>
      </c>
      <c r="O118" s="36"/>
      <c r="P118" s="37">
        <f t="shared" si="15"/>
        <v>5</v>
      </c>
    </row>
    <row r="119" spans="1:16" ht="28.5">
      <c r="A119" s="38">
        <v>116</v>
      </c>
      <c r="B119" s="94" t="s">
        <v>170</v>
      </c>
      <c r="C119" s="76" t="s">
        <v>118</v>
      </c>
      <c r="D119" s="84"/>
      <c r="E119" s="78"/>
      <c r="F119" s="79">
        <v>6.3558000000000003</v>
      </c>
      <c r="G119" s="80">
        <f t="shared" si="14"/>
        <v>5218.1118000000006</v>
      </c>
      <c r="H119" s="81">
        <v>821</v>
      </c>
      <c r="I119" s="85"/>
      <c r="J119" s="31"/>
      <c r="K119" s="32"/>
      <c r="L119" s="33">
        <v>50</v>
      </c>
      <c r="M119" s="34">
        <v>771</v>
      </c>
      <c r="N119" s="35"/>
      <c r="O119" s="36"/>
      <c r="P119" s="37">
        <f t="shared" si="15"/>
        <v>821</v>
      </c>
    </row>
    <row r="120" spans="1:16" ht="42.75">
      <c r="A120" s="38">
        <v>117</v>
      </c>
      <c r="B120" s="94" t="s">
        <v>171</v>
      </c>
      <c r="C120" s="76" t="s">
        <v>118</v>
      </c>
      <c r="D120" s="84" t="s">
        <v>122</v>
      </c>
      <c r="E120" s="78"/>
      <c r="F120" s="79">
        <v>500</v>
      </c>
      <c r="G120" s="80">
        <f t="shared" si="14"/>
        <v>3500</v>
      </c>
      <c r="H120" s="81">
        <v>7</v>
      </c>
      <c r="I120" s="85">
        <v>621</v>
      </c>
      <c r="J120" s="31"/>
      <c r="K120" s="32"/>
      <c r="L120" s="33">
        <v>0</v>
      </c>
      <c r="M120" s="34">
        <v>621</v>
      </c>
      <c r="N120" s="35"/>
      <c r="O120" s="36"/>
      <c r="P120" s="37">
        <f t="shared" si="15"/>
        <v>621</v>
      </c>
    </row>
    <row r="121" spans="1:16" ht="28.5">
      <c r="A121" s="22">
        <v>118</v>
      </c>
      <c r="B121" s="94" t="s">
        <v>172</v>
      </c>
      <c r="C121" s="76"/>
      <c r="D121" s="84"/>
      <c r="E121" s="78"/>
      <c r="F121" s="79">
        <v>5.8315000000000001</v>
      </c>
      <c r="G121" s="80">
        <f t="shared" si="14"/>
        <v>12187.835000000001</v>
      </c>
      <c r="H121" s="81">
        <v>2090</v>
      </c>
      <c r="I121" s="85"/>
      <c r="J121" s="31"/>
      <c r="K121" s="32"/>
      <c r="L121" s="33">
        <f>2200-1000</f>
        <v>1200</v>
      </c>
      <c r="M121" s="34"/>
      <c r="N121" s="35">
        <v>890</v>
      </c>
      <c r="O121" s="36"/>
      <c r="P121" s="37">
        <f t="shared" si="15"/>
        <v>2090</v>
      </c>
    </row>
    <row r="122" spans="1:16" ht="28.5">
      <c r="A122" s="22">
        <v>119</v>
      </c>
      <c r="B122" s="94" t="s">
        <v>173</v>
      </c>
      <c r="C122" s="76"/>
      <c r="D122" s="84"/>
      <c r="E122" s="78"/>
      <c r="F122" s="79">
        <v>3.21</v>
      </c>
      <c r="G122" s="80">
        <f t="shared" si="14"/>
        <v>22341.599999999999</v>
      </c>
      <c r="H122" s="81">
        <v>6960</v>
      </c>
      <c r="I122" s="85"/>
      <c r="J122" s="31"/>
      <c r="K122" s="32"/>
      <c r="L122" s="33">
        <f>7000-500</f>
        <v>6500</v>
      </c>
      <c r="M122" s="34">
        <v>460</v>
      </c>
      <c r="N122" s="35"/>
      <c r="O122" s="36"/>
      <c r="P122" s="37">
        <f t="shared" si="15"/>
        <v>6960</v>
      </c>
    </row>
    <row r="123" spans="1:16" ht="42.75">
      <c r="A123" s="22">
        <v>120</v>
      </c>
      <c r="B123" s="94" t="s">
        <v>174</v>
      </c>
      <c r="C123" s="76" t="s">
        <v>118</v>
      </c>
      <c r="D123" s="84" t="s">
        <v>122</v>
      </c>
      <c r="E123" s="78"/>
      <c r="F123" s="81">
        <v>3.1410999999999998</v>
      </c>
      <c r="G123" s="80">
        <f t="shared" si="14"/>
        <v>0</v>
      </c>
      <c r="H123" s="81">
        <v>0</v>
      </c>
      <c r="I123" s="91"/>
      <c r="J123" s="32"/>
      <c r="K123" s="31"/>
      <c r="L123" s="45">
        <v>0</v>
      </c>
      <c r="M123" s="34">
        <v>0</v>
      </c>
      <c r="N123" s="35">
        <v>0</v>
      </c>
      <c r="O123" s="36"/>
      <c r="P123" s="37">
        <f t="shared" si="15"/>
        <v>0</v>
      </c>
    </row>
    <row r="124" spans="1:16" ht="28.5">
      <c r="A124" s="22">
        <v>121</v>
      </c>
      <c r="B124" s="94" t="s">
        <v>175</v>
      </c>
      <c r="C124" s="76" t="s">
        <v>118</v>
      </c>
      <c r="D124" s="87"/>
      <c r="E124" s="78"/>
      <c r="F124" s="81">
        <v>0.37</v>
      </c>
      <c r="G124" s="80">
        <f t="shared" si="14"/>
        <v>1628</v>
      </c>
      <c r="H124" s="81">
        <v>4400</v>
      </c>
      <c r="I124" s="91"/>
      <c r="J124" s="32"/>
      <c r="K124" s="31"/>
      <c r="L124" s="45">
        <f>5000-500-1000</f>
        <v>3500</v>
      </c>
      <c r="M124" s="34">
        <v>500</v>
      </c>
      <c r="N124" s="35">
        <v>400</v>
      </c>
      <c r="O124" s="36"/>
      <c r="P124" s="37">
        <f t="shared" si="15"/>
        <v>4400</v>
      </c>
    </row>
    <row r="125" spans="1:16" ht="14.25">
      <c r="A125" s="22">
        <v>122</v>
      </c>
      <c r="B125" s="94" t="s">
        <v>176</v>
      </c>
      <c r="C125" s="76" t="s">
        <v>118</v>
      </c>
      <c r="D125" s="87"/>
      <c r="E125" s="86">
        <v>45809</v>
      </c>
      <c r="F125" s="81">
        <v>9478.06</v>
      </c>
      <c r="G125" s="80">
        <f t="shared" si="14"/>
        <v>0</v>
      </c>
      <c r="H125" s="81">
        <v>0</v>
      </c>
      <c r="I125" s="85">
        <v>0</v>
      </c>
      <c r="J125" s="31"/>
      <c r="K125" s="32"/>
      <c r="L125" s="101"/>
      <c r="M125" s="34"/>
      <c r="N125" s="43">
        <v>0</v>
      </c>
      <c r="O125" s="36"/>
      <c r="P125" s="37">
        <f t="shared" si="15"/>
        <v>0</v>
      </c>
    </row>
    <row r="126" spans="1:16" ht="42.75">
      <c r="A126" s="22">
        <v>123</v>
      </c>
      <c r="B126" s="102" t="s">
        <v>177</v>
      </c>
      <c r="C126" s="76" t="s">
        <v>118</v>
      </c>
      <c r="D126" s="87"/>
      <c r="E126" s="86"/>
      <c r="F126" s="81">
        <v>2086.5</v>
      </c>
      <c r="G126" s="80">
        <f t="shared" si="14"/>
        <v>4173</v>
      </c>
      <c r="H126" s="81">
        <v>2</v>
      </c>
      <c r="I126" s="85"/>
      <c r="J126" s="31"/>
      <c r="K126" s="32"/>
      <c r="L126" s="33">
        <v>0</v>
      </c>
      <c r="M126" s="34"/>
      <c r="N126" s="43">
        <v>2</v>
      </c>
      <c r="O126" s="36"/>
      <c r="P126" s="37"/>
    </row>
    <row r="127" spans="1:16" ht="42.75">
      <c r="A127" s="22">
        <v>124</v>
      </c>
      <c r="B127" s="94" t="s">
        <v>178</v>
      </c>
      <c r="C127" s="76" t="s">
        <v>118</v>
      </c>
      <c r="D127" s="87"/>
      <c r="E127" s="86">
        <v>45809</v>
      </c>
      <c r="F127" s="81">
        <v>7755.56</v>
      </c>
      <c r="G127" s="80">
        <f t="shared" si="14"/>
        <v>7755.56</v>
      </c>
      <c r="H127" s="81">
        <v>1</v>
      </c>
      <c r="I127" s="85">
        <v>0</v>
      </c>
      <c r="J127" s="31"/>
      <c r="K127" s="32"/>
      <c r="L127" s="101"/>
      <c r="M127" s="34"/>
      <c r="N127" s="43">
        <v>1</v>
      </c>
      <c r="O127" s="36"/>
      <c r="P127" s="37">
        <f t="shared" ref="P127:P130" si="16">L127+M127+N127</f>
        <v>1</v>
      </c>
    </row>
    <row r="128" spans="1:16" ht="28.5">
      <c r="A128" s="22">
        <v>125</v>
      </c>
      <c r="B128" s="94" t="s">
        <v>179</v>
      </c>
      <c r="C128" s="76" t="s">
        <v>118</v>
      </c>
      <c r="D128" s="87"/>
      <c r="E128" s="86">
        <v>45748</v>
      </c>
      <c r="F128" s="79">
        <v>1701.3</v>
      </c>
      <c r="G128" s="80">
        <f t="shared" si="14"/>
        <v>3402.6</v>
      </c>
      <c r="H128" s="81">
        <v>2</v>
      </c>
      <c r="I128" s="91"/>
      <c r="J128" s="31"/>
      <c r="K128" s="32"/>
      <c r="L128" s="33">
        <v>0</v>
      </c>
      <c r="M128" s="34"/>
      <c r="N128" s="43">
        <v>2</v>
      </c>
      <c r="O128" s="36"/>
      <c r="P128" s="37">
        <f t="shared" si="16"/>
        <v>2</v>
      </c>
    </row>
    <row r="129" spans="1:16" ht="14.25">
      <c r="A129" s="38">
        <v>126</v>
      </c>
      <c r="B129" s="94" t="s">
        <v>180</v>
      </c>
      <c r="C129" s="76" t="s">
        <v>118</v>
      </c>
      <c r="D129" s="87"/>
      <c r="E129" s="78">
        <v>45870</v>
      </c>
      <c r="F129" s="79">
        <v>2314.41</v>
      </c>
      <c r="G129" s="80">
        <f t="shared" si="14"/>
        <v>2314.41</v>
      </c>
      <c r="H129" s="81">
        <v>1</v>
      </c>
      <c r="I129" s="91"/>
      <c r="J129" s="31"/>
      <c r="K129" s="32"/>
      <c r="L129" s="33">
        <v>0</v>
      </c>
      <c r="M129" s="42"/>
      <c r="N129" s="43">
        <v>1</v>
      </c>
      <c r="O129" s="36"/>
      <c r="P129" s="37">
        <f t="shared" si="16"/>
        <v>1</v>
      </c>
    </row>
    <row r="130" spans="1:16" ht="14.25">
      <c r="A130" s="22">
        <v>127</v>
      </c>
      <c r="B130" s="94" t="s">
        <v>180</v>
      </c>
      <c r="C130" s="76" t="s">
        <v>118</v>
      </c>
      <c r="D130" s="87"/>
      <c r="E130" s="78">
        <v>46174</v>
      </c>
      <c r="F130" s="79">
        <v>2887.93</v>
      </c>
      <c r="G130" s="80">
        <f t="shared" si="14"/>
        <v>8663.7899999999991</v>
      </c>
      <c r="H130" s="81">
        <v>3</v>
      </c>
      <c r="I130" s="91"/>
      <c r="J130" s="32"/>
      <c r="K130" s="32"/>
      <c r="L130" s="33">
        <v>0</v>
      </c>
      <c r="M130" s="34"/>
      <c r="N130" s="43">
        <v>4</v>
      </c>
      <c r="O130" s="36"/>
      <c r="P130" s="37">
        <f t="shared" si="16"/>
        <v>4</v>
      </c>
    </row>
    <row r="131" spans="1:16" ht="14.25">
      <c r="A131" s="22">
        <v>128</v>
      </c>
      <c r="B131" s="94" t="s">
        <v>180</v>
      </c>
      <c r="C131" s="76" t="s">
        <v>118</v>
      </c>
      <c r="D131" s="87"/>
      <c r="E131" s="78"/>
      <c r="F131" s="103">
        <v>2699</v>
      </c>
      <c r="G131" s="80">
        <f t="shared" si="14"/>
        <v>0</v>
      </c>
      <c r="H131" s="81">
        <v>0</v>
      </c>
      <c r="I131" s="91"/>
      <c r="J131" s="32"/>
      <c r="K131" s="32"/>
      <c r="L131" s="33">
        <v>0</v>
      </c>
      <c r="M131" s="34"/>
      <c r="N131" s="43"/>
      <c r="O131" s="36"/>
      <c r="P131" s="37"/>
    </row>
    <row r="132" spans="1:16" ht="14.25">
      <c r="A132" s="22">
        <v>129</v>
      </c>
      <c r="B132" s="94" t="s">
        <v>181</v>
      </c>
      <c r="C132" s="76" t="s">
        <v>118</v>
      </c>
      <c r="D132" s="87"/>
      <c r="E132" s="78">
        <v>46692</v>
      </c>
      <c r="F132" s="103">
        <v>1712</v>
      </c>
      <c r="G132" s="80">
        <f t="shared" si="14"/>
        <v>1712</v>
      </c>
      <c r="H132" s="81">
        <v>1</v>
      </c>
      <c r="I132" s="91"/>
      <c r="J132" s="32"/>
      <c r="K132" s="32"/>
      <c r="L132" s="33">
        <v>0</v>
      </c>
      <c r="M132" s="34"/>
      <c r="N132" s="43">
        <v>1</v>
      </c>
      <c r="O132" s="36"/>
      <c r="P132" s="37">
        <f t="shared" ref="P132:P133" si="17">L132+M132+N132</f>
        <v>1</v>
      </c>
    </row>
    <row r="133" spans="1:16" ht="14.25">
      <c r="A133" s="22">
        <v>130</v>
      </c>
      <c r="B133" s="94" t="s">
        <v>182</v>
      </c>
      <c r="C133" s="76" t="s">
        <v>118</v>
      </c>
      <c r="D133" s="87"/>
      <c r="E133" s="78">
        <v>46327</v>
      </c>
      <c r="F133" s="103">
        <v>2573.35</v>
      </c>
      <c r="G133" s="80">
        <f t="shared" si="14"/>
        <v>2573.35</v>
      </c>
      <c r="H133" s="81">
        <v>1</v>
      </c>
      <c r="I133" s="91"/>
      <c r="J133" s="32"/>
      <c r="K133" s="32"/>
      <c r="L133" s="33">
        <v>0</v>
      </c>
      <c r="M133" s="34"/>
      <c r="N133" s="43">
        <v>1</v>
      </c>
      <c r="O133" s="36"/>
      <c r="P133" s="37">
        <f t="shared" si="17"/>
        <v>1</v>
      </c>
    </row>
    <row r="134" spans="1:16" ht="28.5">
      <c r="A134" s="22">
        <v>131</v>
      </c>
      <c r="B134" s="94" t="s">
        <v>183</v>
      </c>
      <c r="C134" s="76" t="s">
        <v>118</v>
      </c>
      <c r="D134" s="87"/>
      <c r="E134" s="78"/>
      <c r="F134" s="103">
        <v>785.38</v>
      </c>
      <c r="G134" s="80">
        <f t="shared" si="14"/>
        <v>1570.76</v>
      </c>
      <c r="H134" s="81">
        <v>2</v>
      </c>
      <c r="I134" s="91"/>
      <c r="J134" s="32"/>
      <c r="K134" s="32"/>
      <c r="L134" s="33"/>
      <c r="M134" s="34"/>
      <c r="N134" s="43">
        <v>2</v>
      </c>
      <c r="O134" s="36"/>
      <c r="P134" s="37"/>
    </row>
    <row r="135" spans="1:16" ht="14.25">
      <c r="A135" s="22">
        <v>132</v>
      </c>
      <c r="B135" s="94" t="s">
        <v>184</v>
      </c>
      <c r="C135" s="76" t="s">
        <v>118</v>
      </c>
      <c r="D135" s="87"/>
      <c r="E135" s="78"/>
      <c r="F135" s="103">
        <v>454.75</v>
      </c>
      <c r="G135" s="80">
        <f t="shared" si="14"/>
        <v>454.75</v>
      </c>
      <c r="H135" s="81">
        <v>1</v>
      </c>
      <c r="I135" s="91"/>
      <c r="J135" s="32"/>
      <c r="K135" s="32"/>
      <c r="L135" s="33"/>
      <c r="M135" s="34"/>
      <c r="N135" s="43">
        <v>1</v>
      </c>
      <c r="O135" s="36"/>
      <c r="P135" s="37"/>
    </row>
    <row r="136" spans="1:16" ht="14.25">
      <c r="A136" s="22">
        <v>133</v>
      </c>
      <c r="B136" s="94" t="s">
        <v>185</v>
      </c>
      <c r="C136" s="76" t="s">
        <v>118</v>
      </c>
      <c r="D136" s="84" t="s">
        <v>186</v>
      </c>
      <c r="E136" s="78">
        <v>46813</v>
      </c>
      <c r="F136" s="79">
        <v>124</v>
      </c>
      <c r="G136" s="80">
        <f t="shared" si="14"/>
        <v>0</v>
      </c>
      <c r="H136" s="81">
        <v>0</v>
      </c>
      <c r="I136" s="85">
        <v>0</v>
      </c>
      <c r="J136" s="31"/>
      <c r="K136" s="31"/>
      <c r="L136" s="33"/>
      <c r="M136" s="34"/>
      <c r="N136" s="35">
        <v>0</v>
      </c>
      <c r="O136" s="104"/>
      <c r="P136" s="37">
        <f t="shared" ref="P136:P147" si="18">L136+M136+N136</f>
        <v>0</v>
      </c>
    </row>
    <row r="137" spans="1:16" ht="14.25">
      <c r="A137" s="22">
        <v>134</v>
      </c>
      <c r="B137" s="94" t="s">
        <v>187</v>
      </c>
      <c r="C137" s="76" t="s">
        <v>118</v>
      </c>
      <c r="D137" s="84" t="s">
        <v>186</v>
      </c>
      <c r="E137" s="78"/>
      <c r="F137" s="79">
        <v>303</v>
      </c>
      <c r="G137" s="80">
        <f t="shared" si="14"/>
        <v>1515</v>
      </c>
      <c r="H137" s="81">
        <v>5</v>
      </c>
      <c r="I137" s="85">
        <v>4270</v>
      </c>
      <c r="J137" s="31"/>
      <c r="K137" s="31"/>
      <c r="L137" s="33"/>
      <c r="M137" s="34"/>
      <c r="N137" s="35">
        <v>4270</v>
      </c>
      <c r="O137" s="104"/>
      <c r="P137" s="37">
        <f t="shared" si="18"/>
        <v>4270</v>
      </c>
    </row>
    <row r="138" spans="1:16" ht="28.5">
      <c r="A138" s="22">
        <v>135</v>
      </c>
      <c r="B138" s="94" t="s">
        <v>188</v>
      </c>
      <c r="C138" s="76" t="s">
        <v>118</v>
      </c>
      <c r="D138" s="84" t="s">
        <v>189</v>
      </c>
      <c r="E138" s="78">
        <v>46813</v>
      </c>
      <c r="F138" s="79">
        <v>153</v>
      </c>
      <c r="G138" s="80">
        <f t="shared" si="14"/>
        <v>612</v>
      </c>
      <c r="H138" s="81">
        <v>4</v>
      </c>
      <c r="I138" s="85">
        <v>1530</v>
      </c>
      <c r="J138" s="31"/>
      <c r="K138" s="31"/>
      <c r="L138" s="33"/>
      <c r="M138" s="34"/>
      <c r="N138" s="35">
        <v>1530</v>
      </c>
      <c r="O138" s="104"/>
      <c r="P138" s="37">
        <f t="shared" si="18"/>
        <v>1530</v>
      </c>
    </row>
    <row r="139" spans="1:16" ht="28.5">
      <c r="A139" s="22">
        <v>136</v>
      </c>
      <c r="B139" s="94" t="s">
        <v>190</v>
      </c>
      <c r="C139" s="76"/>
      <c r="D139" s="84" t="s">
        <v>189</v>
      </c>
      <c r="E139" s="78"/>
      <c r="F139" s="79">
        <v>297</v>
      </c>
      <c r="G139" s="80">
        <f t="shared" si="14"/>
        <v>594</v>
      </c>
      <c r="H139" s="81">
        <v>2</v>
      </c>
      <c r="I139" s="85">
        <v>870</v>
      </c>
      <c r="J139" s="31"/>
      <c r="K139" s="31"/>
      <c r="L139" s="33"/>
      <c r="M139" s="34"/>
      <c r="N139" s="35">
        <v>870</v>
      </c>
      <c r="O139" s="104"/>
      <c r="P139" s="37">
        <f t="shared" si="18"/>
        <v>870</v>
      </c>
    </row>
    <row r="140" spans="1:16" ht="14.25">
      <c r="A140" s="38">
        <v>137</v>
      </c>
      <c r="B140" s="94" t="s">
        <v>191</v>
      </c>
      <c r="C140" s="76" t="s">
        <v>118</v>
      </c>
      <c r="D140" s="87"/>
      <c r="E140" s="78">
        <v>46204</v>
      </c>
      <c r="F140" s="79">
        <v>172</v>
      </c>
      <c r="G140" s="80">
        <f t="shared" si="14"/>
        <v>860</v>
      </c>
      <c r="H140" s="81">
        <v>5</v>
      </c>
      <c r="I140" s="91"/>
      <c r="J140" s="31"/>
      <c r="K140" s="31"/>
      <c r="L140" s="33">
        <v>5</v>
      </c>
      <c r="M140" s="34"/>
      <c r="N140" s="35"/>
      <c r="O140" s="104"/>
      <c r="P140" s="37">
        <f t="shared" si="18"/>
        <v>5</v>
      </c>
    </row>
    <row r="141" spans="1:16" ht="14.25">
      <c r="A141" s="22">
        <v>138</v>
      </c>
      <c r="B141" s="94" t="s">
        <v>192</v>
      </c>
      <c r="C141" s="76" t="s">
        <v>118</v>
      </c>
      <c r="D141" s="84" t="s">
        <v>193</v>
      </c>
      <c r="E141" s="78">
        <v>46204</v>
      </c>
      <c r="F141" s="79">
        <v>212</v>
      </c>
      <c r="G141" s="80">
        <f t="shared" si="14"/>
        <v>2756</v>
      </c>
      <c r="H141" s="81">
        <v>13</v>
      </c>
      <c r="I141" s="91"/>
      <c r="J141" s="31"/>
      <c r="K141" s="32"/>
      <c r="L141" s="33">
        <v>10</v>
      </c>
      <c r="M141" s="34">
        <v>1</v>
      </c>
      <c r="N141" s="35">
        <v>2</v>
      </c>
      <c r="O141" s="105"/>
      <c r="P141" s="37">
        <f t="shared" si="18"/>
        <v>13</v>
      </c>
    </row>
    <row r="142" spans="1:16" ht="14.25">
      <c r="A142" s="38">
        <v>139</v>
      </c>
      <c r="B142" s="94" t="s">
        <v>194</v>
      </c>
      <c r="C142" s="76" t="s">
        <v>118</v>
      </c>
      <c r="D142" s="84" t="s">
        <v>193</v>
      </c>
      <c r="E142" s="78">
        <v>45992</v>
      </c>
      <c r="F142" s="79">
        <v>212</v>
      </c>
      <c r="G142" s="80">
        <f t="shared" si="14"/>
        <v>1060</v>
      </c>
      <c r="H142" s="81">
        <v>5</v>
      </c>
      <c r="I142" s="91"/>
      <c r="J142" s="31"/>
      <c r="K142" s="32"/>
      <c r="L142" s="33">
        <v>5</v>
      </c>
      <c r="M142" s="34">
        <v>0</v>
      </c>
      <c r="N142" s="35">
        <v>0</v>
      </c>
      <c r="O142" s="105"/>
      <c r="P142" s="37">
        <f t="shared" si="18"/>
        <v>5</v>
      </c>
    </row>
    <row r="143" spans="1:16" ht="14.25">
      <c r="A143" s="22">
        <v>140</v>
      </c>
      <c r="B143" s="100" t="s">
        <v>195</v>
      </c>
      <c r="C143" s="76" t="s">
        <v>118</v>
      </c>
      <c r="D143" s="84" t="s">
        <v>193</v>
      </c>
      <c r="E143" s="78">
        <v>46082</v>
      </c>
      <c r="F143" s="79">
        <v>344</v>
      </c>
      <c r="G143" s="80">
        <f t="shared" si="14"/>
        <v>2064</v>
      </c>
      <c r="H143" s="81">
        <v>6</v>
      </c>
      <c r="I143" s="91"/>
      <c r="J143" s="32"/>
      <c r="K143" s="32"/>
      <c r="L143" s="33">
        <v>0</v>
      </c>
      <c r="M143" s="34">
        <v>6</v>
      </c>
      <c r="N143" s="35">
        <v>0</v>
      </c>
      <c r="O143" s="66"/>
      <c r="P143" s="37">
        <f t="shared" si="18"/>
        <v>6</v>
      </c>
    </row>
    <row r="144" spans="1:16" ht="28.5">
      <c r="A144" s="22">
        <v>141</v>
      </c>
      <c r="B144" s="100" t="s">
        <v>196</v>
      </c>
      <c r="C144" s="76" t="s">
        <v>118</v>
      </c>
      <c r="D144" s="84" t="s">
        <v>193</v>
      </c>
      <c r="E144" s="78">
        <v>46082</v>
      </c>
      <c r="F144" s="79">
        <v>299</v>
      </c>
      <c r="G144" s="80">
        <f t="shared" si="14"/>
        <v>1196</v>
      </c>
      <c r="H144" s="81">
        <v>4</v>
      </c>
      <c r="I144" s="91"/>
      <c r="J144" s="59"/>
      <c r="K144" s="59"/>
      <c r="L144" s="33">
        <v>0</v>
      </c>
      <c r="M144" s="34">
        <v>4</v>
      </c>
      <c r="N144" s="61"/>
      <c r="O144" s="104"/>
      <c r="P144" s="37">
        <f t="shared" si="18"/>
        <v>4</v>
      </c>
    </row>
    <row r="145" spans="1:16" ht="28.5">
      <c r="A145" s="22">
        <v>142</v>
      </c>
      <c r="B145" s="94" t="s">
        <v>197</v>
      </c>
      <c r="C145" s="76" t="s">
        <v>118</v>
      </c>
      <c r="D145" s="87"/>
      <c r="E145" s="78">
        <v>46054</v>
      </c>
      <c r="F145" s="89">
        <v>224</v>
      </c>
      <c r="G145" s="89">
        <f t="shared" si="14"/>
        <v>672</v>
      </c>
      <c r="H145" s="81">
        <v>3</v>
      </c>
      <c r="I145" s="91"/>
      <c r="J145" s="32"/>
      <c r="K145" s="32"/>
      <c r="L145" s="33">
        <f>3-1-2</f>
        <v>0</v>
      </c>
      <c r="M145" s="34">
        <v>1</v>
      </c>
      <c r="N145" s="35">
        <v>2</v>
      </c>
      <c r="O145" s="36"/>
      <c r="P145" s="37">
        <f t="shared" si="18"/>
        <v>3</v>
      </c>
    </row>
    <row r="146" spans="1:16" ht="14.25">
      <c r="A146" s="22">
        <v>143</v>
      </c>
      <c r="B146" s="94" t="s">
        <v>198</v>
      </c>
      <c r="C146" s="76" t="s">
        <v>118</v>
      </c>
      <c r="D146" s="87"/>
      <c r="E146" s="78">
        <v>45901</v>
      </c>
      <c r="F146" s="89">
        <v>224</v>
      </c>
      <c r="G146" s="89">
        <f t="shared" si="14"/>
        <v>896</v>
      </c>
      <c r="H146" s="81">
        <v>4</v>
      </c>
      <c r="I146" s="91"/>
      <c r="J146" s="32"/>
      <c r="K146" s="32"/>
      <c r="L146" s="33">
        <f>4</f>
        <v>4</v>
      </c>
      <c r="M146" s="34">
        <v>0</v>
      </c>
      <c r="N146" s="35">
        <v>0</v>
      </c>
      <c r="O146" s="36"/>
      <c r="P146" s="37">
        <f t="shared" si="18"/>
        <v>4</v>
      </c>
    </row>
    <row r="147" spans="1:16" ht="15">
      <c r="A147" s="22"/>
      <c r="B147" s="255" t="s">
        <v>199</v>
      </c>
      <c r="C147" s="256"/>
      <c r="D147" s="256"/>
      <c r="E147" s="256"/>
      <c r="F147" s="256"/>
      <c r="G147" s="256"/>
      <c r="H147" s="256"/>
      <c r="I147" s="65"/>
      <c r="J147" s="31"/>
      <c r="K147" s="32"/>
      <c r="L147" s="55"/>
      <c r="M147" s="42"/>
      <c r="N147" s="35"/>
      <c r="O147" s="36"/>
      <c r="P147" s="37">
        <f t="shared" si="18"/>
        <v>0</v>
      </c>
    </row>
    <row r="148" spans="1:16" ht="42.75" customHeight="1">
      <c r="A148" s="106">
        <v>1</v>
      </c>
      <c r="B148" s="107" t="s">
        <v>200</v>
      </c>
      <c r="C148" s="108" t="s">
        <v>23</v>
      </c>
      <c r="D148" s="109"/>
      <c r="E148" s="110">
        <v>46539</v>
      </c>
      <c r="F148" s="64">
        <v>87.763220000000004</v>
      </c>
      <c r="G148" s="28">
        <f t="shared" ref="G148:G163" si="19">F148*H148</f>
        <v>789.86898000000008</v>
      </c>
      <c r="H148" s="29">
        <v>9</v>
      </c>
      <c r="I148" s="65"/>
      <c r="J148" s="32"/>
      <c r="K148" s="31"/>
      <c r="L148" s="45"/>
      <c r="M148" s="34"/>
      <c r="N148" s="43">
        <v>9</v>
      </c>
      <c r="O148" s="36"/>
      <c r="P148" s="37"/>
    </row>
    <row r="149" spans="1:16" ht="102">
      <c r="A149" s="106">
        <v>2</v>
      </c>
      <c r="B149" s="111" t="s">
        <v>201</v>
      </c>
      <c r="C149" s="108" t="s">
        <v>23</v>
      </c>
      <c r="D149" s="109"/>
      <c r="E149" s="110">
        <v>46419</v>
      </c>
      <c r="F149" s="74">
        <v>47.498109999999997</v>
      </c>
      <c r="G149" s="28">
        <f t="shared" si="19"/>
        <v>807.46786999999995</v>
      </c>
      <c r="H149" s="29">
        <v>17</v>
      </c>
      <c r="I149" s="65"/>
      <c r="J149" s="32"/>
      <c r="K149" s="31"/>
      <c r="L149" s="45"/>
      <c r="M149" s="34"/>
      <c r="N149" s="43">
        <v>17</v>
      </c>
      <c r="O149" s="36"/>
      <c r="P149" s="37">
        <f t="shared" ref="P149:P153" si="20">L149+M149+N149</f>
        <v>17</v>
      </c>
    </row>
    <row r="150" spans="1:16" ht="38.25">
      <c r="A150" s="106">
        <v>3</v>
      </c>
      <c r="B150" s="107" t="s">
        <v>202</v>
      </c>
      <c r="C150" s="108" t="s">
        <v>203</v>
      </c>
      <c r="D150" s="109"/>
      <c r="E150" s="110">
        <v>46447</v>
      </c>
      <c r="F150" s="112">
        <v>63</v>
      </c>
      <c r="G150" s="28">
        <f t="shared" si="19"/>
        <v>79317</v>
      </c>
      <c r="H150" s="29">
        <v>1259</v>
      </c>
      <c r="I150" s="65"/>
      <c r="J150" s="31"/>
      <c r="K150" s="32"/>
      <c r="L150" s="45"/>
      <c r="M150" s="34">
        <v>1069</v>
      </c>
      <c r="N150" s="43">
        <v>190</v>
      </c>
      <c r="O150" s="36"/>
      <c r="P150" s="37">
        <f t="shared" si="20"/>
        <v>1259</v>
      </c>
    </row>
    <row r="151" spans="1:16" ht="89.25">
      <c r="A151" s="106">
        <v>4</v>
      </c>
      <c r="B151" s="107" t="s">
        <v>204</v>
      </c>
      <c r="C151" s="108" t="s">
        <v>203</v>
      </c>
      <c r="D151" s="109"/>
      <c r="E151" s="110">
        <v>46204</v>
      </c>
      <c r="F151" s="113">
        <v>311.82</v>
      </c>
      <c r="G151" s="28">
        <f t="shared" si="19"/>
        <v>39601.14</v>
      </c>
      <c r="H151" s="29">
        <v>127</v>
      </c>
      <c r="I151" s="65"/>
      <c r="J151" s="114"/>
      <c r="K151" s="32"/>
      <c r="L151" s="45"/>
      <c r="M151" s="34"/>
      <c r="N151" s="43">
        <v>127</v>
      </c>
      <c r="O151" s="36"/>
      <c r="P151" s="37">
        <f t="shared" si="20"/>
        <v>127</v>
      </c>
    </row>
    <row r="152" spans="1:16" ht="38.25" hidden="1">
      <c r="A152" s="106">
        <v>9</v>
      </c>
      <c r="B152" s="107" t="s">
        <v>205</v>
      </c>
      <c r="C152" s="108" t="s">
        <v>203</v>
      </c>
      <c r="D152" s="109"/>
      <c r="E152" s="110">
        <v>46082</v>
      </c>
      <c r="F152" s="113">
        <v>102.39241</v>
      </c>
      <c r="G152" s="28">
        <f t="shared" si="19"/>
        <v>0</v>
      </c>
      <c r="H152" s="29">
        <v>0</v>
      </c>
      <c r="I152" s="65"/>
      <c r="J152" s="31"/>
      <c r="K152" s="32"/>
      <c r="L152" s="45"/>
      <c r="M152" s="34"/>
      <c r="N152" s="43">
        <v>0</v>
      </c>
      <c r="O152" s="36"/>
      <c r="P152" s="37">
        <f t="shared" si="20"/>
        <v>0</v>
      </c>
    </row>
    <row r="153" spans="1:16" ht="89.25">
      <c r="A153" s="106">
        <v>5</v>
      </c>
      <c r="B153" s="107" t="s">
        <v>206</v>
      </c>
      <c r="C153" s="108" t="s">
        <v>203</v>
      </c>
      <c r="D153" s="109"/>
      <c r="E153" s="110">
        <v>46296</v>
      </c>
      <c r="F153" s="113">
        <v>165.97004999999999</v>
      </c>
      <c r="G153" s="28">
        <f t="shared" si="19"/>
        <v>6140.8918499999991</v>
      </c>
      <c r="H153" s="29">
        <v>37</v>
      </c>
      <c r="I153" s="65"/>
      <c r="J153" s="31"/>
      <c r="K153" s="32"/>
      <c r="L153" s="45"/>
      <c r="M153" s="34"/>
      <c r="N153" s="43">
        <v>37</v>
      </c>
      <c r="O153" s="36"/>
      <c r="P153" s="37">
        <f t="shared" si="20"/>
        <v>37</v>
      </c>
    </row>
    <row r="154" spans="1:16" ht="63.75">
      <c r="A154" s="106">
        <v>6</v>
      </c>
      <c r="B154" s="107" t="s">
        <v>207</v>
      </c>
      <c r="C154" s="108" t="s">
        <v>23</v>
      </c>
      <c r="D154" s="109"/>
      <c r="E154" s="110">
        <v>46722</v>
      </c>
      <c r="F154" s="113">
        <v>22.809000000000001</v>
      </c>
      <c r="G154" s="28">
        <f t="shared" si="19"/>
        <v>2349.3270000000002</v>
      </c>
      <c r="H154" s="29">
        <v>103</v>
      </c>
      <c r="I154" s="65"/>
      <c r="J154" s="31"/>
      <c r="K154" s="32"/>
      <c r="L154" s="45"/>
      <c r="M154" s="34"/>
      <c r="N154" s="43">
        <v>103</v>
      </c>
      <c r="O154" s="36"/>
      <c r="P154" s="37"/>
    </row>
    <row r="155" spans="1:16" ht="66.75" customHeight="1">
      <c r="A155" s="106">
        <v>7</v>
      </c>
      <c r="B155" s="115" t="s">
        <v>208</v>
      </c>
      <c r="C155" s="108" t="s">
        <v>203</v>
      </c>
      <c r="D155" s="109"/>
      <c r="E155" s="110">
        <v>46174</v>
      </c>
      <c r="F155" s="113">
        <v>165.97</v>
      </c>
      <c r="G155" s="28">
        <f t="shared" si="19"/>
        <v>13277.6</v>
      </c>
      <c r="H155" s="29">
        <v>80</v>
      </c>
      <c r="I155" s="65"/>
      <c r="J155" s="31"/>
      <c r="K155" s="32"/>
      <c r="L155" s="45"/>
      <c r="M155" s="34"/>
      <c r="N155" s="43">
        <v>80</v>
      </c>
      <c r="O155" s="36"/>
      <c r="P155" s="37"/>
    </row>
    <row r="156" spans="1:16" ht="45.75" customHeight="1">
      <c r="A156" s="106">
        <v>8</v>
      </c>
      <c r="B156" s="115" t="s">
        <v>209</v>
      </c>
      <c r="C156" s="108" t="s">
        <v>23</v>
      </c>
      <c r="D156" s="109"/>
      <c r="E156" s="110">
        <v>46235</v>
      </c>
      <c r="F156" s="113">
        <v>83.28913</v>
      </c>
      <c r="G156" s="28">
        <f t="shared" si="19"/>
        <v>1415.9152100000001</v>
      </c>
      <c r="H156" s="29">
        <v>17</v>
      </c>
      <c r="I156" s="65"/>
      <c r="J156" s="31"/>
      <c r="K156" s="32"/>
      <c r="L156" s="45"/>
      <c r="M156" s="34"/>
      <c r="N156" s="43">
        <v>17</v>
      </c>
      <c r="O156" s="36"/>
      <c r="P156" s="37"/>
    </row>
    <row r="157" spans="1:16" ht="48.75" customHeight="1">
      <c r="A157" s="106">
        <v>9</v>
      </c>
      <c r="B157" s="107" t="s">
        <v>210</v>
      </c>
      <c r="C157" s="108" t="s">
        <v>211</v>
      </c>
      <c r="D157" s="109"/>
      <c r="E157" s="110">
        <v>46419</v>
      </c>
      <c r="F157" s="113">
        <v>151.69268</v>
      </c>
      <c r="G157" s="28">
        <f t="shared" si="19"/>
        <v>151.69268</v>
      </c>
      <c r="H157" s="29">
        <v>1</v>
      </c>
      <c r="I157" s="65">
        <v>0</v>
      </c>
      <c r="J157" s="31"/>
      <c r="K157" s="32"/>
      <c r="L157" s="45"/>
      <c r="M157" s="34"/>
      <c r="N157" s="43">
        <v>1</v>
      </c>
      <c r="O157" s="36"/>
      <c r="P157" s="37"/>
    </row>
    <row r="158" spans="1:16" ht="49.5" customHeight="1">
      <c r="A158" s="106">
        <v>10</v>
      </c>
      <c r="B158" s="107" t="s">
        <v>212</v>
      </c>
      <c r="C158" s="108" t="s">
        <v>211</v>
      </c>
      <c r="D158" s="109"/>
      <c r="E158" s="116">
        <v>46419</v>
      </c>
      <c r="F158" s="113">
        <v>104.197</v>
      </c>
      <c r="G158" s="28">
        <f t="shared" si="19"/>
        <v>1250.364</v>
      </c>
      <c r="H158" s="29">
        <v>12</v>
      </c>
      <c r="I158" s="65"/>
      <c r="J158" s="31"/>
      <c r="K158" s="32"/>
      <c r="L158" s="55"/>
      <c r="M158" s="34"/>
      <c r="N158" s="43">
        <v>12</v>
      </c>
      <c r="O158" s="36"/>
      <c r="P158" s="37"/>
    </row>
    <row r="159" spans="1:16" ht="63.75" customHeight="1">
      <c r="A159" s="106">
        <v>11</v>
      </c>
      <c r="B159" s="107" t="s">
        <v>213</v>
      </c>
      <c r="C159" s="108" t="s">
        <v>211</v>
      </c>
      <c r="D159" s="109"/>
      <c r="E159" s="116">
        <v>46419</v>
      </c>
      <c r="F159" s="113">
        <v>53.739330000000002</v>
      </c>
      <c r="G159" s="28">
        <f t="shared" si="19"/>
        <v>1074.7866000000001</v>
      </c>
      <c r="H159" s="29">
        <v>20</v>
      </c>
      <c r="I159" s="65"/>
      <c r="J159" s="31"/>
      <c r="K159" s="32"/>
      <c r="L159" s="55"/>
      <c r="M159" s="34"/>
      <c r="N159" s="43">
        <v>20</v>
      </c>
      <c r="O159" s="36"/>
      <c r="P159" s="37"/>
    </row>
    <row r="160" spans="1:16" ht="38.25">
      <c r="A160" s="106">
        <v>12</v>
      </c>
      <c r="B160" s="117" t="s">
        <v>214</v>
      </c>
      <c r="C160" s="118" t="s">
        <v>203</v>
      </c>
      <c r="D160" s="119"/>
      <c r="E160" s="120">
        <v>45962</v>
      </c>
      <c r="F160" s="121">
        <v>278.76278000000002</v>
      </c>
      <c r="G160" s="28">
        <f t="shared" si="19"/>
        <v>11708.036760000001</v>
      </c>
      <c r="H160" s="29">
        <v>42</v>
      </c>
      <c r="I160" s="65"/>
      <c r="J160" s="31"/>
      <c r="K160" s="32"/>
      <c r="L160" s="55"/>
      <c r="M160" s="34">
        <v>42</v>
      </c>
      <c r="N160" s="43"/>
      <c r="O160" s="36"/>
      <c r="P160" s="37"/>
    </row>
    <row r="161" spans="1:18" ht="39.75" customHeight="1">
      <c r="A161" s="106">
        <v>13</v>
      </c>
      <c r="B161" s="122" t="s">
        <v>215</v>
      </c>
      <c r="C161" s="118" t="s">
        <v>203</v>
      </c>
      <c r="D161" s="119"/>
      <c r="E161" s="123">
        <v>46054</v>
      </c>
      <c r="F161" s="121">
        <v>279.78750000000002</v>
      </c>
      <c r="G161" s="28">
        <f t="shared" si="19"/>
        <v>1678.7250000000001</v>
      </c>
      <c r="H161" s="29">
        <v>6</v>
      </c>
      <c r="I161" s="65"/>
      <c r="J161" s="31"/>
      <c r="K161" s="32"/>
      <c r="L161" s="55"/>
      <c r="M161" s="34"/>
      <c r="N161" s="43">
        <v>6</v>
      </c>
      <c r="O161" s="36"/>
      <c r="P161" s="37"/>
    </row>
    <row r="162" spans="1:18" ht="42" customHeight="1">
      <c r="A162" s="106">
        <v>14</v>
      </c>
      <c r="B162" s="122" t="s">
        <v>216</v>
      </c>
      <c r="C162" s="118" t="s">
        <v>203</v>
      </c>
      <c r="D162" s="119"/>
      <c r="E162" s="123">
        <v>46204</v>
      </c>
      <c r="F162" s="121">
        <v>279.78733</v>
      </c>
      <c r="G162" s="28">
        <f t="shared" si="19"/>
        <v>2797.8733000000002</v>
      </c>
      <c r="H162" s="29">
        <v>10</v>
      </c>
      <c r="I162" s="65"/>
      <c r="J162" s="31"/>
      <c r="K162" s="32"/>
      <c r="L162" s="55"/>
      <c r="M162" s="34"/>
      <c r="N162" s="43">
        <v>10</v>
      </c>
      <c r="O162" s="36"/>
      <c r="P162" s="37"/>
    </row>
    <row r="163" spans="1:18" ht="42" customHeight="1">
      <c r="A163" s="106">
        <v>15</v>
      </c>
      <c r="B163" s="122" t="s">
        <v>217</v>
      </c>
      <c r="C163" s="118" t="s">
        <v>23</v>
      </c>
      <c r="D163" s="119"/>
      <c r="E163" s="123">
        <v>46388</v>
      </c>
      <c r="F163" s="121">
        <v>19.100000000000001</v>
      </c>
      <c r="G163" s="28">
        <f t="shared" si="19"/>
        <v>19.100000000000001</v>
      </c>
      <c r="H163" s="29">
        <v>1</v>
      </c>
      <c r="I163" s="65"/>
      <c r="J163" s="31"/>
      <c r="K163" s="32"/>
      <c r="L163" s="55"/>
      <c r="M163" s="34"/>
      <c r="N163" s="43">
        <v>1</v>
      </c>
      <c r="O163" s="36"/>
      <c r="P163" s="37"/>
    </row>
    <row r="164" spans="1:18" ht="30" customHeight="1">
      <c r="A164" s="106">
        <v>16</v>
      </c>
      <c r="B164" s="122" t="s">
        <v>218</v>
      </c>
      <c r="C164" s="118" t="s">
        <v>118</v>
      </c>
      <c r="D164" s="119"/>
      <c r="E164" s="124"/>
      <c r="F164" s="125"/>
      <c r="G164" s="28">
        <f t="shared" ref="G164:G166" si="21">H164*F164</f>
        <v>0</v>
      </c>
      <c r="H164" s="29">
        <v>100</v>
      </c>
      <c r="I164" s="65"/>
      <c r="J164" s="31"/>
      <c r="K164" s="32"/>
      <c r="L164" s="55"/>
      <c r="M164" s="34"/>
      <c r="N164" s="43">
        <v>100</v>
      </c>
      <c r="O164" s="36"/>
      <c r="P164" s="37">
        <f t="shared" ref="P164:P165" si="22">L164+M164+N164</f>
        <v>100</v>
      </c>
    </row>
    <row r="165" spans="1:18" ht="38.25">
      <c r="A165" s="106">
        <v>17</v>
      </c>
      <c r="B165" s="126" t="s">
        <v>219</v>
      </c>
      <c r="C165" s="118" t="s">
        <v>118</v>
      </c>
      <c r="D165" s="119"/>
      <c r="E165" s="123">
        <v>46204</v>
      </c>
      <c r="F165" s="127">
        <v>0</v>
      </c>
      <c r="G165" s="28">
        <f t="shared" si="21"/>
        <v>0</v>
      </c>
      <c r="H165" s="29">
        <v>185</v>
      </c>
      <c r="I165" s="65"/>
      <c r="J165" s="32"/>
      <c r="K165" s="32"/>
      <c r="L165" s="45">
        <v>0</v>
      </c>
      <c r="M165" s="34"/>
      <c r="N165" s="43">
        <v>185</v>
      </c>
      <c r="O165" s="36"/>
      <c r="P165" s="37">
        <f t="shared" si="22"/>
        <v>185</v>
      </c>
    </row>
    <row r="166" spans="1:18" ht="38.25">
      <c r="A166" s="106">
        <v>18</v>
      </c>
      <c r="B166" s="122" t="s">
        <v>220</v>
      </c>
      <c r="C166" s="118" t="s">
        <v>118</v>
      </c>
      <c r="D166" s="128"/>
      <c r="E166" s="123">
        <v>46661</v>
      </c>
      <c r="F166" s="121">
        <v>1.5</v>
      </c>
      <c r="G166" s="28">
        <f t="shared" si="21"/>
        <v>15</v>
      </c>
      <c r="H166" s="29">
        <v>10</v>
      </c>
      <c r="I166" s="65"/>
      <c r="J166" s="32"/>
      <c r="K166" s="32"/>
      <c r="L166" s="45"/>
      <c r="M166" s="34"/>
      <c r="N166" s="43">
        <v>10</v>
      </c>
      <c r="O166" s="36"/>
      <c r="P166" s="37"/>
    </row>
    <row r="167" spans="1:18" ht="38.25">
      <c r="A167" s="106">
        <v>19</v>
      </c>
      <c r="B167" s="122" t="s">
        <v>221</v>
      </c>
      <c r="C167" s="118" t="s">
        <v>118</v>
      </c>
      <c r="D167" s="128"/>
      <c r="E167" s="123">
        <v>46204</v>
      </c>
      <c r="F167" s="121">
        <v>0</v>
      </c>
      <c r="G167" s="46">
        <f t="shared" ref="G167:G171" si="23">F167*H167</f>
        <v>0</v>
      </c>
      <c r="H167" s="29">
        <v>189</v>
      </c>
      <c r="I167" s="65"/>
      <c r="J167" s="32"/>
      <c r="K167" s="32"/>
      <c r="L167" s="45"/>
      <c r="M167" s="34">
        <v>189</v>
      </c>
      <c r="N167" s="43"/>
      <c r="O167" s="36"/>
      <c r="P167" s="37">
        <f t="shared" ref="P167:P170" si="24">L167+M167+N167</f>
        <v>189</v>
      </c>
    </row>
    <row r="168" spans="1:18" ht="38.25">
      <c r="A168" s="106">
        <v>20</v>
      </c>
      <c r="B168" s="122" t="s">
        <v>222</v>
      </c>
      <c r="C168" s="118" t="s">
        <v>118</v>
      </c>
      <c r="D168" s="119"/>
      <c r="E168" s="129">
        <v>46296</v>
      </c>
      <c r="F168" s="130">
        <v>1.31</v>
      </c>
      <c r="G168" s="46">
        <f t="shared" si="23"/>
        <v>4645.26</v>
      </c>
      <c r="H168" s="29">
        <v>3546</v>
      </c>
      <c r="I168" s="65"/>
      <c r="J168" s="32"/>
      <c r="K168" s="32"/>
      <c r="L168" s="45">
        <v>0</v>
      </c>
      <c r="M168" s="34">
        <v>1426</v>
      </c>
      <c r="N168" s="35">
        <v>2120</v>
      </c>
      <c r="O168" s="36"/>
      <c r="P168" s="37">
        <f t="shared" si="24"/>
        <v>3546</v>
      </c>
    </row>
    <row r="169" spans="1:18" ht="51">
      <c r="A169" s="106">
        <v>21</v>
      </c>
      <c r="B169" s="122" t="s">
        <v>223</v>
      </c>
      <c r="C169" s="118" t="s">
        <v>118</v>
      </c>
      <c r="D169" s="119"/>
      <c r="E169" s="129">
        <v>46296</v>
      </c>
      <c r="F169" s="130">
        <v>3.54</v>
      </c>
      <c r="G169" s="46">
        <f t="shared" si="23"/>
        <v>3717</v>
      </c>
      <c r="H169" s="29">
        <v>1050</v>
      </c>
      <c r="I169" s="65"/>
      <c r="J169" s="32"/>
      <c r="K169" s="32"/>
      <c r="L169" s="45"/>
      <c r="M169" s="34">
        <v>1050</v>
      </c>
      <c r="N169" s="35">
        <v>0</v>
      </c>
      <c r="O169" s="36"/>
      <c r="P169" s="37">
        <f t="shared" si="24"/>
        <v>1050</v>
      </c>
    </row>
    <row r="170" spans="1:18" ht="38.25">
      <c r="A170" s="106">
        <v>22</v>
      </c>
      <c r="B170" s="122" t="s">
        <v>224</v>
      </c>
      <c r="C170" s="118" t="s">
        <v>118</v>
      </c>
      <c r="D170" s="119"/>
      <c r="E170" s="129">
        <v>46508</v>
      </c>
      <c r="F170" s="130">
        <v>1.46</v>
      </c>
      <c r="G170" s="46">
        <f t="shared" si="23"/>
        <v>143.07999999999998</v>
      </c>
      <c r="H170" s="29">
        <v>98</v>
      </c>
      <c r="I170" s="65"/>
      <c r="J170" s="32"/>
      <c r="K170" s="32"/>
      <c r="L170" s="45">
        <v>0</v>
      </c>
      <c r="M170" s="34"/>
      <c r="N170" s="35">
        <v>98</v>
      </c>
      <c r="O170" s="36"/>
      <c r="P170" s="37">
        <f t="shared" si="24"/>
        <v>98</v>
      </c>
    </row>
    <row r="171" spans="1:18" ht="51">
      <c r="A171" s="106">
        <v>23</v>
      </c>
      <c r="B171" s="107" t="s">
        <v>225</v>
      </c>
      <c r="C171" s="108" t="s">
        <v>118</v>
      </c>
      <c r="D171" s="109"/>
      <c r="E171" s="131"/>
      <c r="F171" s="74">
        <v>33.58</v>
      </c>
      <c r="G171" s="46">
        <f t="shared" si="23"/>
        <v>33.58</v>
      </c>
      <c r="H171" s="64">
        <v>1</v>
      </c>
      <c r="I171" s="65"/>
      <c r="J171" s="32"/>
      <c r="K171" s="32"/>
      <c r="L171" s="45"/>
      <c r="M171" s="34">
        <v>1</v>
      </c>
      <c r="N171" s="35"/>
      <c r="O171" s="36"/>
      <c r="P171" s="37"/>
    </row>
    <row r="172" spans="1:18" ht="25.5">
      <c r="A172" s="106">
        <v>24</v>
      </c>
      <c r="B172" s="107" t="s">
        <v>226</v>
      </c>
      <c r="C172" s="108" t="s">
        <v>118</v>
      </c>
      <c r="D172" s="109"/>
      <c r="E172" s="131"/>
      <c r="F172" s="74">
        <v>948</v>
      </c>
      <c r="G172" s="28">
        <f t="shared" ref="G172:G173" si="25">H172*F172</f>
        <v>3792</v>
      </c>
      <c r="H172" s="64">
        <v>4</v>
      </c>
      <c r="I172" s="65"/>
      <c r="J172" s="32"/>
      <c r="K172" s="32"/>
      <c r="L172" s="45">
        <v>4</v>
      </c>
      <c r="M172" s="34">
        <v>0</v>
      </c>
      <c r="N172" s="35"/>
      <c r="O172" s="36"/>
      <c r="P172" s="37">
        <f t="shared" ref="P172:P174" si="26">L172+M172+N172</f>
        <v>4</v>
      </c>
    </row>
    <row r="173" spans="1:18" ht="20.25" customHeight="1">
      <c r="A173" s="106">
        <v>25</v>
      </c>
      <c r="B173" s="132" t="s">
        <v>227</v>
      </c>
      <c r="C173" s="108" t="s">
        <v>23</v>
      </c>
      <c r="D173" s="133"/>
      <c r="E173" s="116">
        <v>46419</v>
      </c>
      <c r="F173" s="64">
        <v>25.79</v>
      </c>
      <c r="G173" s="134">
        <f t="shared" si="25"/>
        <v>902.65</v>
      </c>
      <c r="H173" s="64">
        <v>35</v>
      </c>
      <c r="I173" s="65"/>
      <c r="J173" s="59"/>
      <c r="K173" s="57"/>
      <c r="L173" s="33">
        <f>40-2-8-6-5</f>
        <v>19</v>
      </c>
      <c r="M173" s="42">
        <v>4</v>
      </c>
      <c r="N173" s="35">
        <v>12</v>
      </c>
      <c r="O173" s="36"/>
      <c r="P173" s="37">
        <f t="shared" si="26"/>
        <v>35</v>
      </c>
    </row>
    <row r="174" spans="1:18" ht="28.5">
      <c r="A174" s="106">
        <v>26</v>
      </c>
      <c r="B174" s="135" t="s">
        <v>228</v>
      </c>
      <c r="C174" s="136" t="s">
        <v>118</v>
      </c>
      <c r="D174" s="136"/>
      <c r="E174" s="137">
        <v>46054</v>
      </c>
      <c r="F174" s="138">
        <v>41.60051</v>
      </c>
      <c r="G174" s="139">
        <f t="shared" ref="G174:G179" si="27">F174*H174</f>
        <v>41.60051</v>
      </c>
      <c r="H174" s="140">
        <v>1</v>
      </c>
      <c r="I174" s="47"/>
      <c r="J174" s="31"/>
      <c r="K174" s="31"/>
      <c r="L174" s="45"/>
      <c r="M174" s="42">
        <v>0</v>
      </c>
      <c r="N174" s="43">
        <v>1</v>
      </c>
      <c r="O174" s="36"/>
      <c r="P174" s="37">
        <f t="shared" si="26"/>
        <v>1</v>
      </c>
      <c r="Q174" s="31"/>
      <c r="R174" s="59"/>
    </row>
    <row r="175" spans="1:18" ht="57">
      <c r="A175" s="106">
        <v>27</v>
      </c>
      <c r="B175" s="135" t="s">
        <v>229</v>
      </c>
      <c r="C175" s="136" t="s">
        <v>230</v>
      </c>
      <c r="D175" s="136" t="s">
        <v>231</v>
      </c>
      <c r="E175" s="137">
        <v>46388</v>
      </c>
      <c r="F175" s="138">
        <v>774.66</v>
      </c>
      <c r="G175" s="139">
        <f t="shared" si="27"/>
        <v>1549.32</v>
      </c>
      <c r="H175" s="140">
        <v>2</v>
      </c>
      <c r="I175" s="47"/>
      <c r="J175" s="31"/>
      <c r="K175" s="31"/>
      <c r="L175" s="45">
        <v>2</v>
      </c>
      <c r="M175" s="141"/>
      <c r="N175" s="60"/>
      <c r="O175" s="36"/>
      <c r="P175" s="37"/>
      <c r="Q175" s="31"/>
      <c r="R175" s="59"/>
    </row>
    <row r="176" spans="1:18" ht="57">
      <c r="A176" s="106">
        <v>28</v>
      </c>
      <c r="B176" s="135" t="s">
        <v>232</v>
      </c>
      <c r="C176" s="136" t="s">
        <v>230</v>
      </c>
      <c r="D176" s="136" t="s">
        <v>231</v>
      </c>
      <c r="E176" s="137">
        <v>46447</v>
      </c>
      <c r="F176" s="138">
        <v>774.66166699999997</v>
      </c>
      <c r="G176" s="139">
        <f t="shared" si="27"/>
        <v>4647.970002</v>
      </c>
      <c r="H176" s="140">
        <v>6</v>
      </c>
      <c r="I176" s="47"/>
      <c r="J176" s="31"/>
      <c r="K176" s="31"/>
      <c r="L176" s="45">
        <v>6</v>
      </c>
      <c r="M176" s="141"/>
      <c r="N176" s="60"/>
      <c r="O176" s="36"/>
      <c r="P176" s="37"/>
      <c r="Q176" s="31"/>
      <c r="R176" s="59"/>
    </row>
    <row r="177" spans="1:18" ht="42.75">
      <c r="A177" s="106">
        <v>29</v>
      </c>
      <c r="B177" s="135" t="s">
        <v>233</v>
      </c>
      <c r="C177" s="136" t="s">
        <v>230</v>
      </c>
      <c r="D177" s="136" t="s">
        <v>61</v>
      </c>
      <c r="E177" s="137">
        <v>46174</v>
      </c>
      <c r="F177" s="138">
        <v>216.33799999999999</v>
      </c>
      <c r="G177" s="139">
        <f t="shared" si="27"/>
        <v>1081.69</v>
      </c>
      <c r="H177" s="140">
        <v>5</v>
      </c>
      <c r="I177" s="47"/>
      <c r="J177" s="31"/>
      <c r="K177" s="31"/>
      <c r="L177" s="45">
        <v>5</v>
      </c>
      <c r="M177" s="141"/>
      <c r="N177" s="60"/>
      <c r="O177" s="36"/>
      <c r="P177" s="37"/>
      <c r="Q177" s="31"/>
      <c r="R177" s="59"/>
    </row>
    <row r="178" spans="1:18" ht="77.25" customHeight="1">
      <c r="A178" s="106">
        <v>30</v>
      </c>
      <c r="B178" s="135" t="s">
        <v>234</v>
      </c>
      <c r="C178" s="136" t="s">
        <v>230</v>
      </c>
      <c r="D178" s="136" t="s">
        <v>231</v>
      </c>
      <c r="E178" s="142">
        <v>46327</v>
      </c>
      <c r="F178" s="138">
        <v>850.47</v>
      </c>
      <c r="G178" s="139">
        <f t="shared" si="27"/>
        <v>850.47</v>
      </c>
      <c r="H178" s="140">
        <v>1</v>
      </c>
      <c r="I178" s="47"/>
      <c r="J178" s="31"/>
      <c r="K178" s="31"/>
      <c r="L178" s="45">
        <v>1</v>
      </c>
      <c r="M178" s="141"/>
      <c r="N178" s="60"/>
      <c r="O178" s="36"/>
      <c r="P178" s="37"/>
      <c r="Q178" s="31"/>
      <c r="R178" s="59"/>
    </row>
    <row r="179" spans="1:18" ht="42.75">
      <c r="A179" s="106">
        <v>31</v>
      </c>
      <c r="B179" s="135" t="s">
        <v>235</v>
      </c>
      <c r="C179" s="136" t="s">
        <v>230</v>
      </c>
      <c r="D179" s="136" t="s">
        <v>231</v>
      </c>
      <c r="E179" s="142">
        <v>46357</v>
      </c>
      <c r="F179" s="138">
        <v>1244.55</v>
      </c>
      <c r="G179" s="139">
        <f t="shared" si="27"/>
        <v>1244.55</v>
      </c>
      <c r="H179" s="140">
        <v>1</v>
      </c>
      <c r="I179" s="65">
        <v>25</v>
      </c>
      <c r="J179" s="31"/>
      <c r="K179" s="31"/>
      <c r="L179" s="45"/>
      <c r="M179" s="141"/>
      <c r="N179" s="60"/>
      <c r="O179" s="36"/>
      <c r="P179" s="37"/>
      <c r="Q179" s="31"/>
      <c r="R179" s="59"/>
    </row>
    <row r="180" spans="1:18" ht="14.25">
      <c r="A180" s="106">
        <v>32</v>
      </c>
      <c r="B180" s="143" t="s">
        <v>236</v>
      </c>
      <c r="C180" s="136" t="s">
        <v>118</v>
      </c>
      <c r="D180" s="136"/>
      <c r="E180" s="136"/>
      <c r="F180" s="138">
        <v>65</v>
      </c>
      <c r="G180" s="144">
        <f t="shared" ref="G180:G181" si="28">H180*F180</f>
        <v>1300</v>
      </c>
      <c r="H180" s="140">
        <v>20</v>
      </c>
      <c r="I180" s="47"/>
      <c r="J180" s="31"/>
      <c r="K180" s="31"/>
      <c r="L180" s="45">
        <v>20</v>
      </c>
      <c r="M180" s="141"/>
      <c r="N180" s="60"/>
      <c r="O180" s="36"/>
      <c r="P180" s="37">
        <f t="shared" ref="P180:P182" si="29">L180+M180+N180</f>
        <v>20</v>
      </c>
      <c r="Q180" s="31"/>
      <c r="R180" s="59"/>
    </row>
    <row r="181" spans="1:18" ht="18.75" customHeight="1">
      <c r="A181" s="106">
        <v>33</v>
      </c>
      <c r="B181" s="143" t="s">
        <v>237</v>
      </c>
      <c r="C181" s="136" t="s">
        <v>118</v>
      </c>
      <c r="D181" s="136"/>
      <c r="E181" s="136"/>
      <c r="F181" s="138">
        <v>150</v>
      </c>
      <c r="G181" s="144">
        <f t="shared" si="28"/>
        <v>1500</v>
      </c>
      <c r="H181" s="140">
        <v>10</v>
      </c>
      <c r="I181" s="47"/>
      <c r="J181" s="31"/>
      <c r="K181" s="31"/>
      <c r="L181" s="45">
        <v>10</v>
      </c>
      <c r="M181" s="141"/>
      <c r="N181" s="60"/>
      <c r="O181" s="36"/>
      <c r="P181" s="37">
        <f t="shared" si="29"/>
        <v>10</v>
      </c>
      <c r="Q181" s="31"/>
      <c r="R181" s="59"/>
    </row>
    <row r="182" spans="1:18" ht="24" customHeight="1">
      <c r="A182" s="106"/>
      <c r="B182" s="257" t="s">
        <v>238</v>
      </c>
      <c r="C182" s="256"/>
      <c r="D182" s="256"/>
      <c r="E182" s="256"/>
      <c r="F182" s="256"/>
      <c r="G182" s="258"/>
      <c r="H182" s="145"/>
      <c r="I182" s="146"/>
      <c r="J182" s="32" t="s">
        <v>0</v>
      </c>
      <c r="K182" s="31"/>
      <c r="L182" s="55"/>
      <c r="M182" s="141"/>
      <c r="N182" s="60"/>
      <c r="O182" s="36"/>
      <c r="P182" s="37">
        <f t="shared" si="29"/>
        <v>0</v>
      </c>
      <c r="Q182" s="31"/>
      <c r="R182" s="59">
        <v>0</v>
      </c>
    </row>
    <row r="183" spans="1:18" ht="12.75">
      <c r="A183" s="147"/>
      <c r="B183" s="148" t="s">
        <v>239</v>
      </c>
      <c r="C183" s="149" t="s">
        <v>23</v>
      </c>
      <c r="D183" s="150"/>
      <c r="E183" s="151"/>
      <c r="F183" s="152">
        <v>60</v>
      </c>
      <c r="G183" s="153">
        <f t="shared" ref="G183:G184" si="30">F183*H183</f>
        <v>9060</v>
      </c>
      <c r="H183" s="154">
        <v>151</v>
      </c>
      <c r="I183" s="155"/>
      <c r="J183" s="156"/>
      <c r="K183" s="155"/>
      <c r="L183" s="157"/>
      <c r="M183" s="34">
        <v>151</v>
      </c>
      <c r="N183" s="35"/>
      <c r="O183" s="36"/>
      <c r="P183" s="37"/>
    </row>
    <row r="184" spans="1:18" ht="12.75">
      <c r="A184" s="147"/>
      <c r="B184" s="148" t="s">
        <v>240</v>
      </c>
      <c r="C184" s="149" t="s">
        <v>20</v>
      </c>
      <c r="D184" s="158" t="s">
        <v>241</v>
      </c>
      <c r="E184" s="151"/>
      <c r="F184" s="152">
        <v>28</v>
      </c>
      <c r="G184" s="153">
        <f t="shared" si="30"/>
        <v>14000</v>
      </c>
      <c r="H184" s="154">
        <v>500</v>
      </c>
      <c r="I184" s="159">
        <v>15000</v>
      </c>
      <c r="J184" s="156"/>
      <c r="K184" s="155"/>
      <c r="L184" s="157"/>
      <c r="M184" s="34">
        <v>15000</v>
      </c>
      <c r="N184" s="35"/>
      <c r="O184" s="36"/>
      <c r="P184" s="37"/>
    </row>
    <row r="185" spans="1:18" ht="30">
      <c r="A185" s="147">
        <v>1</v>
      </c>
      <c r="B185" s="160" t="s">
        <v>242</v>
      </c>
      <c r="C185" s="149" t="s">
        <v>118</v>
      </c>
      <c r="D185" s="150"/>
      <c r="E185" s="151">
        <v>46082</v>
      </c>
      <c r="F185" s="161">
        <v>36.28</v>
      </c>
      <c r="G185" s="153">
        <f t="shared" ref="G185:G265" si="31">H185*F185</f>
        <v>725.6</v>
      </c>
      <c r="H185" s="162">
        <v>20</v>
      </c>
      <c r="I185" s="155"/>
      <c r="J185" s="156"/>
      <c r="K185" s="155"/>
      <c r="L185" s="157">
        <v>0</v>
      </c>
      <c r="M185" s="34"/>
      <c r="N185" s="35">
        <v>20</v>
      </c>
      <c r="O185" s="36"/>
      <c r="P185" s="37">
        <f t="shared" ref="P185:P186" si="32">L185+M185+N185</f>
        <v>20</v>
      </c>
    </row>
    <row r="186" spans="1:18" ht="14.25">
      <c r="A186" s="147">
        <v>2</v>
      </c>
      <c r="B186" s="163" t="s">
        <v>243</v>
      </c>
      <c r="C186" s="164" t="s">
        <v>20</v>
      </c>
      <c r="D186" s="165" t="s">
        <v>244</v>
      </c>
      <c r="E186" s="166">
        <v>46419</v>
      </c>
      <c r="F186" s="139">
        <v>63.4</v>
      </c>
      <c r="G186" s="153">
        <f t="shared" si="31"/>
        <v>380.4</v>
      </c>
      <c r="H186" s="167">
        <v>6</v>
      </c>
      <c r="I186" s="168">
        <v>96</v>
      </c>
      <c r="J186" s="169"/>
      <c r="K186" s="31"/>
      <c r="L186" s="33">
        <f>120-120</f>
        <v>0</v>
      </c>
      <c r="M186" s="34">
        <v>96</v>
      </c>
      <c r="N186" s="35">
        <v>0</v>
      </c>
      <c r="O186" s="36"/>
      <c r="P186" s="37">
        <f t="shared" si="32"/>
        <v>96</v>
      </c>
    </row>
    <row r="187" spans="1:18" ht="14.25">
      <c r="A187" s="147">
        <v>3</v>
      </c>
      <c r="B187" s="163" t="s">
        <v>245</v>
      </c>
      <c r="C187" s="164" t="s">
        <v>20</v>
      </c>
      <c r="D187" s="165" t="s">
        <v>246</v>
      </c>
      <c r="E187" s="166"/>
      <c r="F187" s="139">
        <v>393.94</v>
      </c>
      <c r="G187" s="153">
        <f t="shared" si="31"/>
        <v>1181.82</v>
      </c>
      <c r="H187" s="167">
        <v>3</v>
      </c>
      <c r="I187" s="168">
        <v>130</v>
      </c>
      <c r="J187" s="169"/>
      <c r="K187" s="31"/>
      <c r="L187" s="33">
        <v>0</v>
      </c>
      <c r="M187" s="34"/>
      <c r="N187" s="35">
        <v>130</v>
      </c>
      <c r="O187" s="36"/>
      <c r="P187" s="37"/>
    </row>
    <row r="188" spans="1:18" ht="14.25">
      <c r="A188" s="147">
        <v>4</v>
      </c>
      <c r="B188" s="163" t="s">
        <v>247</v>
      </c>
      <c r="C188" s="164" t="s">
        <v>20</v>
      </c>
      <c r="D188" s="165" t="s">
        <v>248</v>
      </c>
      <c r="E188" s="166"/>
      <c r="F188" s="139">
        <v>144.91999999999999</v>
      </c>
      <c r="G188" s="153">
        <f t="shared" si="31"/>
        <v>0</v>
      </c>
      <c r="H188" s="167">
        <v>0</v>
      </c>
      <c r="I188" s="168">
        <v>0</v>
      </c>
      <c r="J188" s="169"/>
      <c r="K188" s="31"/>
      <c r="L188" s="33">
        <f>200-200</f>
        <v>0</v>
      </c>
      <c r="M188" s="34"/>
      <c r="N188" s="35">
        <v>0</v>
      </c>
      <c r="O188" s="36"/>
      <c r="P188" s="37"/>
    </row>
    <row r="189" spans="1:18" ht="14.25">
      <c r="A189" s="147">
        <v>5</v>
      </c>
      <c r="B189" s="163" t="s">
        <v>249</v>
      </c>
      <c r="C189" s="164" t="s">
        <v>20</v>
      </c>
      <c r="D189" s="165" t="s">
        <v>248</v>
      </c>
      <c r="E189" s="166">
        <v>46388</v>
      </c>
      <c r="F189" s="139">
        <v>28.22</v>
      </c>
      <c r="G189" s="144">
        <f t="shared" si="31"/>
        <v>2680.9</v>
      </c>
      <c r="H189" s="167">
        <v>95</v>
      </c>
      <c r="I189" s="168">
        <v>9500</v>
      </c>
      <c r="J189" s="169"/>
      <c r="K189" s="31"/>
      <c r="L189" s="33">
        <f>10000-100*100</f>
        <v>0</v>
      </c>
      <c r="M189" s="34">
        <v>9500</v>
      </c>
      <c r="N189" s="35"/>
      <c r="O189" s="36"/>
      <c r="P189" s="37">
        <f t="shared" ref="P189:P197" si="33">L189+M189+N189</f>
        <v>9500</v>
      </c>
    </row>
    <row r="190" spans="1:18" ht="14.25" hidden="1">
      <c r="A190" s="147">
        <v>6</v>
      </c>
      <c r="B190" s="163" t="s">
        <v>250</v>
      </c>
      <c r="C190" s="164" t="s">
        <v>20</v>
      </c>
      <c r="D190" s="165" t="s">
        <v>251</v>
      </c>
      <c r="E190" s="166">
        <v>45931</v>
      </c>
      <c r="F190" s="139">
        <v>901.37</v>
      </c>
      <c r="G190" s="144">
        <f t="shared" si="31"/>
        <v>0</v>
      </c>
      <c r="H190" s="167">
        <v>0</v>
      </c>
      <c r="I190" s="168">
        <v>0</v>
      </c>
      <c r="J190" s="31"/>
      <c r="K190" s="31"/>
      <c r="L190" s="33">
        <v>0</v>
      </c>
      <c r="M190" s="34">
        <v>0</v>
      </c>
      <c r="N190" s="35"/>
      <c r="O190" s="36"/>
      <c r="P190" s="37">
        <f t="shared" si="33"/>
        <v>0</v>
      </c>
    </row>
    <row r="191" spans="1:18" ht="28.5">
      <c r="A191" s="147">
        <v>7</v>
      </c>
      <c r="B191" s="163" t="s">
        <v>252</v>
      </c>
      <c r="C191" s="164" t="s">
        <v>20</v>
      </c>
      <c r="D191" s="165" t="s">
        <v>37</v>
      </c>
      <c r="E191" s="166">
        <v>46631</v>
      </c>
      <c r="F191" s="139">
        <v>83.19</v>
      </c>
      <c r="G191" s="144">
        <f t="shared" si="31"/>
        <v>1913.37</v>
      </c>
      <c r="H191" s="167">
        <v>23</v>
      </c>
      <c r="I191" s="168">
        <v>230</v>
      </c>
      <c r="J191" s="169"/>
      <c r="K191" s="31"/>
      <c r="L191" s="33">
        <f>240-60-180</f>
        <v>0</v>
      </c>
      <c r="M191" s="34">
        <v>180</v>
      </c>
      <c r="N191" s="35">
        <v>50</v>
      </c>
      <c r="O191" s="36"/>
      <c r="P191" s="37">
        <f t="shared" si="33"/>
        <v>230</v>
      </c>
    </row>
    <row r="192" spans="1:18" ht="14.25" hidden="1">
      <c r="A192" s="147">
        <v>6</v>
      </c>
      <c r="B192" s="163" t="s">
        <v>253</v>
      </c>
      <c r="C192" s="164" t="s">
        <v>20</v>
      </c>
      <c r="D192" s="165" t="s">
        <v>251</v>
      </c>
      <c r="E192" s="166">
        <v>45839</v>
      </c>
      <c r="F192" s="139">
        <v>633.99</v>
      </c>
      <c r="G192" s="144">
        <f t="shared" si="31"/>
        <v>0</v>
      </c>
      <c r="H192" s="167">
        <v>0</v>
      </c>
      <c r="I192" s="168">
        <v>0</v>
      </c>
      <c r="J192" s="31"/>
      <c r="K192" s="31"/>
      <c r="L192" s="33">
        <f>1000-1000</f>
        <v>0</v>
      </c>
      <c r="M192" s="34"/>
      <c r="N192" s="35">
        <v>0</v>
      </c>
      <c r="O192" s="36"/>
      <c r="P192" s="37">
        <f t="shared" si="33"/>
        <v>0</v>
      </c>
    </row>
    <row r="193" spans="1:16" ht="28.5" hidden="1">
      <c r="A193" s="147">
        <v>8</v>
      </c>
      <c r="B193" s="163" t="s">
        <v>254</v>
      </c>
      <c r="C193" s="164" t="s">
        <v>118</v>
      </c>
      <c r="D193" s="165" t="s">
        <v>37</v>
      </c>
      <c r="E193" s="166">
        <v>46054</v>
      </c>
      <c r="F193" s="139">
        <v>256.95999999999998</v>
      </c>
      <c r="G193" s="144">
        <f t="shared" si="31"/>
        <v>0</v>
      </c>
      <c r="H193" s="167">
        <v>0</v>
      </c>
      <c r="I193" s="168">
        <v>0</v>
      </c>
      <c r="J193" s="170"/>
      <c r="K193" s="31"/>
      <c r="L193" s="33">
        <v>0</v>
      </c>
      <c r="M193" s="34"/>
      <c r="N193" s="35">
        <v>0</v>
      </c>
      <c r="O193" s="36"/>
      <c r="P193" s="37">
        <f t="shared" si="33"/>
        <v>0</v>
      </c>
    </row>
    <row r="194" spans="1:16" ht="28.5">
      <c r="A194" s="147">
        <v>9</v>
      </c>
      <c r="B194" s="163" t="s">
        <v>254</v>
      </c>
      <c r="C194" s="164" t="s">
        <v>118</v>
      </c>
      <c r="D194" s="165" t="s">
        <v>231</v>
      </c>
      <c r="E194" s="166">
        <v>46296</v>
      </c>
      <c r="F194" s="139">
        <v>801.36</v>
      </c>
      <c r="G194" s="144">
        <f t="shared" si="31"/>
        <v>3205.44</v>
      </c>
      <c r="H194" s="167">
        <v>4</v>
      </c>
      <c r="I194" s="168">
        <v>60</v>
      </c>
      <c r="J194" s="169"/>
      <c r="K194" s="31"/>
      <c r="L194" s="33">
        <v>0</v>
      </c>
      <c r="M194" s="34"/>
      <c r="N194" s="35">
        <v>60</v>
      </c>
      <c r="O194" s="36"/>
      <c r="P194" s="37">
        <f t="shared" si="33"/>
        <v>60</v>
      </c>
    </row>
    <row r="195" spans="1:16" ht="14.25">
      <c r="A195" s="147">
        <v>10</v>
      </c>
      <c r="B195" s="163" t="s">
        <v>255</v>
      </c>
      <c r="C195" s="164" t="s">
        <v>20</v>
      </c>
      <c r="D195" s="165" t="s">
        <v>248</v>
      </c>
      <c r="E195" s="166">
        <v>46419</v>
      </c>
      <c r="F195" s="139">
        <v>205.6</v>
      </c>
      <c r="G195" s="144">
        <f t="shared" si="31"/>
        <v>205.6</v>
      </c>
      <c r="H195" s="167">
        <v>1</v>
      </c>
      <c r="I195" s="168">
        <v>80</v>
      </c>
      <c r="J195" s="169"/>
      <c r="K195" s="31"/>
      <c r="L195" s="33">
        <f>100-100</f>
        <v>0</v>
      </c>
      <c r="M195" s="34">
        <v>80</v>
      </c>
      <c r="N195" s="35"/>
      <c r="O195" s="36"/>
      <c r="P195" s="37">
        <f t="shared" si="33"/>
        <v>80</v>
      </c>
    </row>
    <row r="196" spans="1:16" ht="28.5">
      <c r="A196" s="147">
        <v>11</v>
      </c>
      <c r="B196" s="163" t="s">
        <v>256</v>
      </c>
      <c r="C196" s="164" t="s">
        <v>23</v>
      </c>
      <c r="D196" s="165" t="s">
        <v>101</v>
      </c>
      <c r="E196" s="166">
        <v>46357</v>
      </c>
      <c r="F196" s="139">
        <v>370</v>
      </c>
      <c r="G196" s="144">
        <f t="shared" si="31"/>
        <v>74000</v>
      </c>
      <c r="H196" s="167">
        <v>200</v>
      </c>
      <c r="I196" s="168"/>
      <c r="J196" s="31"/>
      <c r="K196" s="31"/>
      <c r="L196" s="33">
        <v>0</v>
      </c>
      <c r="M196" s="34">
        <v>200</v>
      </c>
      <c r="N196" s="35"/>
      <c r="O196" s="36"/>
      <c r="P196" s="37">
        <f t="shared" si="33"/>
        <v>200</v>
      </c>
    </row>
    <row r="197" spans="1:16" ht="15">
      <c r="A197" s="147">
        <v>12</v>
      </c>
      <c r="B197" s="171" t="s">
        <v>257</v>
      </c>
      <c r="C197" s="172" t="s">
        <v>20</v>
      </c>
      <c r="D197" s="173" t="s">
        <v>248</v>
      </c>
      <c r="E197" s="174">
        <v>46357</v>
      </c>
      <c r="F197" s="175">
        <v>51.54</v>
      </c>
      <c r="G197" s="144">
        <f t="shared" si="31"/>
        <v>51.54</v>
      </c>
      <c r="H197" s="154">
        <v>1</v>
      </c>
      <c r="I197" s="159">
        <v>80</v>
      </c>
      <c r="J197" s="156"/>
      <c r="K197" s="155"/>
      <c r="L197" s="157">
        <v>0</v>
      </c>
      <c r="M197" s="176">
        <v>80</v>
      </c>
      <c r="N197" s="35"/>
      <c r="O197" s="36"/>
      <c r="P197" s="37">
        <f t="shared" si="33"/>
        <v>80</v>
      </c>
    </row>
    <row r="198" spans="1:16" ht="30">
      <c r="A198" s="147">
        <v>13</v>
      </c>
      <c r="B198" s="171" t="s">
        <v>258</v>
      </c>
      <c r="C198" s="172" t="s">
        <v>20</v>
      </c>
      <c r="D198" s="173" t="s">
        <v>259</v>
      </c>
      <c r="E198" s="174">
        <v>46053</v>
      </c>
      <c r="F198" s="175">
        <v>28.966000000000001</v>
      </c>
      <c r="G198" s="144">
        <f t="shared" si="31"/>
        <v>289.66000000000003</v>
      </c>
      <c r="H198" s="154">
        <v>10</v>
      </c>
      <c r="I198" s="159">
        <v>280</v>
      </c>
      <c r="J198" s="155"/>
      <c r="K198" s="155"/>
      <c r="L198" s="157"/>
      <c r="M198" s="176"/>
      <c r="N198" s="35"/>
      <c r="O198" s="36"/>
      <c r="P198" s="37"/>
    </row>
    <row r="199" spans="1:16" ht="30">
      <c r="A199" s="147">
        <v>14</v>
      </c>
      <c r="B199" s="171" t="s">
        <v>260</v>
      </c>
      <c r="C199" s="172" t="s">
        <v>20</v>
      </c>
      <c r="D199" s="173" t="s">
        <v>261</v>
      </c>
      <c r="E199" s="174">
        <v>46023</v>
      </c>
      <c r="F199" s="175">
        <v>444.13900000000001</v>
      </c>
      <c r="G199" s="144">
        <f t="shared" si="31"/>
        <v>4441.3900000000003</v>
      </c>
      <c r="H199" s="154">
        <v>10</v>
      </c>
      <c r="I199" s="159">
        <v>980</v>
      </c>
      <c r="J199" s="155"/>
      <c r="K199" s="155"/>
      <c r="L199" s="157"/>
      <c r="M199" s="176"/>
      <c r="N199" s="35"/>
      <c r="O199" s="36"/>
      <c r="P199" s="37"/>
    </row>
    <row r="200" spans="1:16" ht="30" hidden="1">
      <c r="A200" s="147">
        <v>15</v>
      </c>
      <c r="B200" s="177" t="s">
        <v>262</v>
      </c>
      <c r="C200" s="172" t="s">
        <v>23</v>
      </c>
      <c r="D200" s="173" t="s">
        <v>263</v>
      </c>
      <c r="E200" s="174">
        <v>45962</v>
      </c>
      <c r="F200" s="175">
        <v>200</v>
      </c>
      <c r="G200" s="144">
        <f t="shared" si="31"/>
        <v>0</v>
      </c>
      <c r="H200" s="154">
        <v>0</v>
      </c>
      <c r="I200" s="155"/>
      <c r="J200" s="155"/>
      <c r="K200" s="155"/>
      <c r="L200" s="157">
        <v>0</v>
      </c>
      <c r="M200" s="176"/>
      <c r="N200" s="35">
        <v>0</v>
      </c>
      <c r="O200" s="36"/>
      <c r="P200" s="37">
        <f t="shared" ref="P200:P203" si="34">L200+M200+N200</f>
        <v>0</v>
      </c>
    </row>
    <row r="201" spans="1:16" ht="45">
      <c r="A201" s="147">
        <v>16</v>
      </c>
      <c r="B201" s="177" t="s">
        <v>264</v>
      </c>
      <c r="C201" s="149" t="s">
        <v>23</v>
      </c>
      <c r="D201" s="158" t="s">
        <v>263</v>
      </c>
      <c r="E201" s="150"/>
      <c r="F201" s="152">
        <v>200</v>
      </c>
      <c r="G201" s="153">
        <f t="shared" si="31"/>
        <v>4800</v>
      </c>
      <c r="H201" s="162">
        <v>24</v>
      </c>
      <c r="I201" s="155"/>
      <c r="J201" s="155"/>
      <c r="K201" s="155"/>
      <c r="L201" s="157">
        <v>0</v>
      </c>
      <c r="M201" s="176">
        <v>0</v>
      </c>
      <c r="N201" s="178"/>
      <c r="O201" s="155"/>
      <c r="P201" s="37">
        <f t="shared" si="34"/>
        <v>0</v>
      </c>
    </row>
    <row r="202" spans="1:16" ht="15" hidden="1">
      <c r="A202" s="147">
        <v>19</v>
      </c>
      <c r="B202" s="177" t="s">
        <v>265</v>
      </c>
      <c r="C202" s="172" t="s">
        <v>266</v>
      </c>
      <c r="D202" s="173"/>
      <c r="E202" s="179">
        <v>46174</v>
      </c>
      <c r="F202" s="175">
        <v>18.690000000000001</v>
      </c>
      <c r="G202" s="144">
        <f t="shared" si="31"/>
        <v>0</v>
      </c>
      <c r="H202" s="154">
        <v>0</v>
      </c>
      <c r="I202" s="155"/>
      <c r="J202" s="156"/>
      <c r="K202" s="155"/>
      <c r="L202" s="157">
        <v>0</v>
      </c>
      <c r="M202" s="176"/>
      <c r="N202" s="180">
        <v>0</v>
      </c>
      <c r="O202" s="155"/>
      <c r="P202" s="37">
        <f t="shared" si="34"/>
        <v>0</v>
      </c>
    </row>
    <row r="203" spans="1:16" ht="15" hidden="1">
      <c r="A203" s="147">
        <v>18</v>
      </c>
      <c r="B203" s="177" t="s">
        <v>267</v>
      </c>
      <c r="C203" s="172" t="s">
        <v>266</v>
      </c>
      <c r="D203" s="173"/>
      <c r="E203" s="179">
        <v>45870</v>
      </c>
      <c r="F203" s="175">
        <v>22.77</v>
      </c>
      <c r="G203" s="144">
        <f t="shared" si="31"/>
        <v>0</v>
      </c>
      <c r="H203" s="154">
        <v>0</v>
      </c>
      <c r="I203" s="155"/>
      <c r="J203" s="156"/>
      <c r="K203" s="155"/>
      <c r="L203" s="157">
        <v>0</v>
      </c>
      <c r="M203" s="176">
        <v>0</v>
      </c>
      <c r="N203" s="180"/>
      <c r="O203" s="155"/>
      <c r="P203" s="37">
        <f t="shared" si="34"/>
        <v>0</v>
      </c>
    </row>
    <row r="204" spans="1:16" ht="17.25" customHeight="1">
      <c r="A204" s="147">
        <v>20</v>
      </c>
      <c r="B204" s="177" t="s">
        <v>268</v>
      </c>
      <c r="C204" s="172" t="s">
        <v>47</v>
      </c>
      <c r="D204" s="173" t="s">
        <v>248</v>
      </c>
      <c r="E204" s="181"/>
      <c r="F204" s="175">
        <v>1208.98</v>
      </c>
      <c r="G204" s="144">
        <f t="shared" si="31"/>
        <v>1208.98</v>
      </c>
      <c r="H204" s="154">
        <v>1</v>
      </c>
      <c r="I204" s="159">
        <v>100</v>
      </c>
      <c r="J204" s="155"/>
      <c r="K204" s="155"/>
      <c r="L204" s="157">
        <f>100-100</f>
        <v>0</v>
      </c>
      <c r="M204" s="176">
        <v>100</v>
      </c>
      <c r="N204" s="180"/>
      <c r="O204" s="155"/>
      <c r="P204" s="37"/>
    </row>
    <row r="205" spans="1:16" ht="15" hidden="1">
      <c r="A205" s="147">
        <v>21</v>
      </c>
      <c r="B205" s="177" t="s">
        <v>269</v>
      </c>
      <c r="C205" s="172" t="s">
        <v>20</v>
      </c>
      <c r="D205" s="173" t="s">
        <v>248</v>
      </c>
      <c r="E205" s="174">
        <v>45962</v>
      </c>
      <c r="F205" s="175">
        <v>50</v>
      </c>
      <c r="G205" s="144">
        <f t="shared" si="31"/>
        <v>0</v>
      </c>
      <c r="H205" s="154">
        <v>0</v>
      </c>
      <c r="I205" s="159"/>
      <c r="J205" s="155"/>
      <c r="K205" s="155"/>
      <c r="L205" s="157">
        <v>0</v>
      </c>
      <c r="M205" s="176">
        <v>0</v>
      </c>
      <c r="N205" s="180"/>
      <c r="O205" s="155"/>
      <c r="P205" s="37">
        <f t="shared" ref="P205:P211" si="35">L205+M205+N205</f>
        <v>0</v>
      </c>
    </row>
    <row r="206" spans="1:16" ht="15" hidden="1">
      <c r="A206" s="147">
        <v>22</v>
      </c>
      <c r="B206" s="177" t="s">
        <v>270</v>
      </c>
      <c r="C206" s="172" t="s">
        <v>20</v>
      </c>
      <c r="D206" s="173" t="s">
        <v>241</v>
      </c>
      <c r="E206" s="174">
        <v>45931</v>
      </c>
      <c r="F206" s="175">
        <v>220.67</v>
      </c>
      <c r="G206" s="144">
        <f t="shared" si="31"/>
        <v>0</v>
      </c>
      <c r="H206" s="154">
        <v>0</v>
      </c>
      <c r="I206" s="155"/>
      <c r="J206" s="155"/>
      <c r="K206" s="155"/>
      <c r="L206" s="157">
        <v>0</v>
      </c>
      <c r="M206" s="176"/>
      <c r="N206" s="180">
        <v>0</v>
      </c>
      <c r="O206" s="155"/>
      <c r="P206" s="37">
        <f t="shared" si="35"/>
        <v>0</v>
      </c>
    </row>
    <row r="207" spans="1:16" ht="30">
      <c r="A207" s="147">
        <v>23</v>
      </c>
      <c r="B207" s="177" t="s">
        <v>271</v>
      </c>
      <c r="C207" s="172" t="s">
        <v>20</v>
      </c>
      <c r="D207" s="173" t="s">
        <v>241</v>
      </c>
      <c r="E207" s="174">
        <v>45992</v>
      </c>
      <c r="F207" s="175">
        <v>276.39</v>
      </c>
      <c r="G207" s="144">
        <f t="shared" si="31"/>
        <v>3869.46</v>
      </c>
      <c r="H207" s="154">
        <v>14</v>
      </c>
      <c r="I207" s="155"/>
      <c r="J207" s="155"/>
      <c r="K207" s="155"/>
      <c r="L207" s="157">
        <v>0</v>
      </c>
      <c r="M207" s="176">
        <v>14</v>
      </c>
      <c r="N207" s="180"/>
      <c r="O207" s="155"/>
      <c r="P207" s="37">
        <f t="shared" si="35"/>
        <v>14</v>
      </c>
    </row>
    <row r="208" spans="1:16" ht="45">
      <c r="A208" s="147">
        <v>24</v>
      </c>
      <c r="B208" s="177" t="s">
        <v>272</v>
      </c>
      <c r="C208" s="149" t="s">
        <v>23</v>
      </c>
      <c r="D208" s="158" t="s">
        <v>273</v>
      </c>
      <c r="E208" s="182">
        <v>45962</v>
      </c>
      <c r="F208" s="152">
        <v>200</v>
      </c>
      <c r="G208" s="153">
        <f t="shared" si="31"/>
        <v>29000</v>
      </c>
      <c r="H208" s="162">
        <v>145</v>
      </c>
      <c r="I208" s="155"/>
      <c r="J208" s="155"/>
      <c r="K208" s="155"/>
      <c r="L208" s="157">
        <v>0</v>
      </c>
      <c r="M208" s="176">
        <v>145</v>
      </c>
      <c r="N208" s="180">
        <v>0</v>
      </c>
      <c r="O208" s="155"/>
      <c r="P208" s="37">
        <f t="shared" si="35"/>
        <v>145</v>
      </c>
    </row>
    <row r="209" spans="1:16" ht="45">
      <c r="A209" s="147">
        <v>25</v>
      </c>
      <c r="B209" s="177" t="s">
        <v>274</v>
      </c>
      <c r="C209" s="164" t="s">
        <v>23</v>
      </c>
      <c r="D209" s="165" t="s">
        <v>275</v>
      </c>
      <c r="E209" s="166">
        <v>46082</v>
      </c>
      <c r="F209" s="139">
        <v>200</v>
      </c>
      <c r="G209" s="153">
        <f t="shared" si="31"/>
        <v>9600</v>
      </c>
      <c r="H209" s="167">
        <v>48</v>
      </c>
      <c r="I209" s="168"/>
      <c r="J209" s="31"/>
      <c r="K209" s="31"/>
      <c r="L209" s="33">
        <v>0</v>
      </c>
      <c r="M209" s="34">
        <v>48</v>
      </c>
      <c r="N209" s="35">
        <v>0</v>
      </c>
      <c r="O209" s="36"/>
      <c r="P209" s="37">
        <f t="shared" si="35"/>
        <v>48</v>
      </c>
    </row>
    <row r="210" spans="1:16" ht="45">
      <c r="A210" s="147"/>
      <c r="B210" s="177" t="s">
        <v>274</v>
      </c>
      <c r="C210" s="172" t="s">
        <v>23</v>
      </c>
      <c r="D210" s="173" t="s">
        <v>275</v>
      </c>
      <c r="E210" s="179">
        <v>46082</v>
      </c>
      <c r="F210" s="175">
        <v>200</v>
      </c>
      <c r="G210" s="153">
        <f t="shared" si="31"/>
        <v>62400</v>
      </c>
      <c r="H210" s="154">
        <v>312</v>
      </c>
      <c r="I210" s="155"/>
      <c r="J210" s="155"/>
      <c r="K210" s="155"/>
      <c r="L210" s="157"/>
      <c r="M210" s="176">
        <v>212</v>
      </c>
      <c r="N210" s="180">
        <v>100</v>
      </c>
      <c r="O210" s="36"/>
      <c r="P210" s="37">
        <f t="shared" si="35"/>
        <v>312</v>
      </c>
    </row>
    <row r="211" spans="1:16" ht="15">
      <c r="A211" s="147">
        <v>26</v>
      </c>
      <c r="B211" s="177" t="s">
        <v>276</v>
      </c>
      <c r="C211" s="149" t="s">
        <v>20</v>
      </c>
      <c r="D211" s="183"/>
      <c r="E211" s="150"/>
      <c r="F211" s="152">
        <v>50</v>
      </c>
      <c r="G211" s="153">
        <f t="shared" si="31"/>
        <v>55250</v>
      </c>
      <c r="H211" s="162">
        <v>1105</v>
      </c>
      <c r="I211" s="155"/>
      <c r="J211" s="155"/>
      <c r="K211" s="155"/>
      <c r="L211" s="157">
        <v>0</v>
      </c>
      <c r="M211" s="176">
        <v>1105</v>
      </c>
      <c r="N211" s="178"/>
      <c r="O211" s="36"/>
      <c r="P211" s="37">
        <f t="shared" si="35"/>
        <v>1105</v>
      </c>
    </row>
    <row r="212" spans="1:16" ht="14.25">
      <c r="A212" s="147"/>
      <c r="B212" s="184" t="s">
        <v>277</v>
      </c>
      <c r="C212" s="172" t="s">
        <v>118</v>
      </c>
      <c r="D212" s="173" t="s">
        <v>278</v>
      </c>
      <c r="E212" s="185"/>
      <c r="F212" s="175">
        <v>1300</v>
      </c>
      <c r="G212" s="153">
        <f t="shared" si="31"/>
        <v>130000</v>
      </c>
      <c r="H212" s="154">
        <v>100</v>
      </c>
      <c r="I212" s="155"/>
      <c r="J212" s="155"/>
      <c r="K212" s="155"/>
      <c r="L212" s="157"/>
      <c r="M212" s="176">
        <v>100</v>
      </c>
      <c r="N212" s="178"/>
      <c r="O212" s="36"/>
      <c r="P212" s="37"/>
    </row>
    <row r="213" spans="1:16" ht="14.25">
      <c r="A213" s="147">
        <v>27</v>
      </c>
      <c r="B213" s="163" t="s">
        <v>279</v>
      </c>
      <c r="C213" s="164" t="s">
        <v>20</v>
      </c>
      <c r="D213" s="165" t="s">
        <v>40</v>
      </c>
      <c r="E213" s="166">
        <v>46569</v>
      </c>
      <c r="F213" s="139">
        <v>47.22</v>
      </c>
      <c r="G213" s="153">
        <f t="shared" si="31"/>
        <v>9774.5399999999991</v>
      </c>
      <c r="H213" s="167">
        <v>207</v>
      </c>
      <c r="I213" s="168">
        <v>4140</v>
      </c>
      <c r="J213" s="169"/>
      <c r="K213" s="31"/>
      <c r="L213" s="33">
        <f>6000-300*20</f>
        <v>0</v>
      </c>
      <c r="M213" s="34">
        <v>4140</v>
      </c>
      <c r="N213" s="35">
        <v>0</v>
      </c>
      <c r="O213" s="36"/>
      <c r="P213" s="37">
        <f t="shared" ref="P213:P215" si="36">L213+M213+N213</f>
        <v>4140</v>
      </c>
    </row>
    <row r="214" spans="1:16" ht="17.25" customHeight="1">
      <c r="A214" s="147">
        <v>28</v>
      </c>
      <c r="B214" s="163" t="s">
        <v>280</v>
      </c>
      <c r="C214" s="164" t="s">
        <v>20</v>
      </c>
      <c r="D214" s="165" t="s">
        <v>248</v>
      </c>
      <c r="E214" s="166">
        <v>46784</v>
      </c>
      <c r="F214" s="139">
        <v>134.38</v>
      </c>
      <c r="G214" s="153">
        <f t="shared" si="31"/>
        <v>2015.6999999999998</v>
      </c>
      <c r="H214" s="167">
        <v>15</v>
      </c>
      <c r="I214" s="168">
        <v>1500</v>
      </c>
      <c r="J214" s="169"/>
      <c r="K214" s="31"/>
      <c r="L214" s="33">
        <f>500-500</f>
        <v>0</v>
      </c>
      <c r="M214" s="34">
        <v>1500</v>
      </c>
      <c r="N214" s="35"/>
      <c r="O214" s="36"/>
      <c r="P214" s="37">
        <f t="shared" si="36"/>
        <v>1500</v>
      </c>
    </row>
    <row r="215" spans="1:16" ht="14.25">
      <c r="A215" s="147">
        <v>29</v>
      </c>
      <c r="B215" s="163" t="s">
        <v>281</v>
      </c>
      <c r="C215" s="164" t="s">
        <v>266</v>
      </c>
      <c r="D215" s="165"/>
      <c r="E215" s="166">
        <v>46447</v>
      </c>
      <c r="F215" s="139">
        <v>19.71</v>
      </c>
      <c r="G215" s="153">
        <f t="shared" si="31"/>
        <v>1084.05</v>
      </c>
      <c r="H215" s="167">
        <v>55</v>
      </c>
      <c r="I215" s="168"/>
      <c r="J215" s="169"/>
      <c r="K215" s="31"/>
      <c r="L215" s="33">
        <v>0</v>
      </c>
      <c r="M215" s="34">
        <v>55</v>
      </c>
      <c r="N215" s="35">
        <v>0</v>
      </c>
      <c r="O215" s="36"/>
      <c r="P215" s="37">
        <f t="shared" si="36"/>
        <v>55</v>
      </c>
    </row>
    <row r="216" spans="1:16" ht="28.5">
      <c r="A216" s="147"/>
      <c r="B216" s="186" t="s">
        <v>282</v>
      </c>
      <c r="C216" s="164" t="s">
        <v>118</v>
      </c>
      <c r="D216" s="165" t="s">
        <v>40</v>
      </c>
      <c r="E216" s="166"/>
      <c r="F216" s="139">
        <v>270</v>
      </c>
      <c r="G216" s="153">
        <f t="shared" si="31"/>
        <v>18900</v>
      </c>
      <c r="H216" s="167">
        <v>70</v>
      </c>
      <c r="I216" s="168"/>
      <c r="J216" s="169"/>
      <c r="K216" s="31"/>
      <c r="L216" s="33"/>
      <c r="M216" s="34">
        <v>70</v>
      </c>
      <c r="N216" s="35"/>
      <c r="O216" s="36"/>
      <c r="P216" s="37"/>
    </row>
    <row r="217" spans="1:16" ht="14.25">
      <c r="A217" s="147">
        <v>30</v>
      </c>
      <c r="B217" s="163" t="s">
        <v>283</v>
      </c>
      <c r="C217" s="164" t="s">
        <v>20</v>
      </c>
      <c r="D217" s="165" t="s">
        <v>248</v>
      </c>
      <c r="E217" s="166">
        <v>46235</v>
      </c>
      <c r="F217" s="139">
        <v>94.96</v>
      </c>
      <c r="G217" s="144">
        <f t="shared" si="31"/>
        <v>8641.3599999999988</v>
      </c>
      <c r="H217" s="167">
        <v>91</v>
      </c>
      <c r="I217" s="168">
        <v>9100</v>
      </c>
      <c r="J217" s="169"/>
      <c r="K217" s="31"/>
      <c r="L217" s="33">
        <f>100*100-10000</f>
        <v>0</v>
      </c>
      <c r="M217" s="34">
        <v>9100</v>
      </c>
      <c r="N217" s="35"/>
      <c r="O217" s="36"/>
      <c r="P217" s="37">
        <f t="shared" ref="P217:P218" si="37">L217+M217+N217</f>
        <v>9100</v>
      </c>
    </row>
    <row r="218" spans="1:16" ht="14.25">
      <c r="A218" s="147">
        <v>31</v>
      </c>
      <c r="B218" s="163" t="s">
        <v>284</v>
      </c>
      <c r="C218" s="164" t="s">
        <v>20</v>
      </c>
      <c r="D218" s="165" t="s">
        <v>40</v>
      </c>
      <c r="E218" s="166">
        <v>46113</v>
      </c>
      <c r="F218" s="139">
        <v>98.93</v>
      </c>
      <c r="G218" s="144">
        <f t="shared" si="31"/>
        <v>16125.590000000002</v>
      </c>
      <c r="H218" s="167">
        <v>163</v>
      </c>
      <c r="I218" s="168">
        <v>3260</v>
      </c>
      <c r="J218" s="169"/>
      <c r="K218" s="31"/>
      <c r="L218" s="33">
        <f>4000-200*20</f>
        <v>0</v>
      </c>
      <c r="M218" s="34">
        <v>3260</v>
      </c>
      <c r="N218" s="35"/>
      <c r="O218" s="36"/>
      <c r="P218" s="37">
        <f t="shared" si="37"/>
        <v>3260</v>
      </c>
    </row>
    <row r="219" spans="1:16" ht="14.25">
      <c r="A219" s="147"/>
      <c r="B219" s="187" t="s">
        <v>285</v>
      </c>
      <c r="C219" s="164" t="s">
        <v>23</v>
      </c>
      <c r="D219" s="165" t="s">
        <v>286</v>
      </c>
      <c r="E219" s="166"/>
      <c r="F219" s="139">
        <v>200</v>
      </c>
      <c r="G219" s="144">
        <f t="shared" si="31"/>
        <v>21600</v>
      </c>
      <c r="H219" s="167">
        <v>108</v>
      </c>
      <c r="I219" s="168"/>
      <c r="J219" s="169"/>
      <c r="K219" s="31"/>
      <c r="L219" s="33"/>
      <c r="M219" s="34">
        <f>80+28</f>
        <v>108</v>
      </c>
      <c r="N219" s="35">
        <v>0</v>
      </c>
      <c r="O219" s="36"/>
      <c r="P219" s="37"/>
    </row>
    <row r="220" spans="1:16" ht="28.5">
      <c r="A220" s="147">
        <v>32</v>
      </c>
      <c r="B220" s="163" t="s">
        <v>287</v>
      </c>
      <c r="C220" s="164" t="s">
        <v>20</v>
      </c>
      <c r="D220" s="165" t="s">
        <v>37</v>
      </c>
      <c r="E220" s="166"/>
      <c r="F220" s="139">
        <v>314.45</v>
      </c>
      <c r="G220" s="144">
        <f t="shared" si="31"/>
        <v>943.34999999999991</v>
      </c>
      <c r="H220" s="167">
        <v>3</v>
      </c>
      <c r="I220" s="168">
        <v>30</v>
      </c>
      <c r="J220" s="169"/>
      <c r="K220" s="31"/>
      <c r="L220" s="33">
        <v>0</v>
      </c>
      <c r="M220" s="34"/>
      <c r="N220" s="35">
        <v>30</v>
      </c>
      <c r="O220" s="36"/>
      <c r="P220" s="37"/>
    </row>
    <row r="221" spans="1:16" ht="14.25">
      <c r="A221" s="147">
        <v>33</v>
      </c>
      <c r="B221" s="163" t="s">
        <v>288</v>
      </c>
      <c r="C221" s="164" t="s">
        <v>20</v>
      </c>
      <c r="D221" s="165" t="s">
        <v>251</v>
      </c>
      <c r="E221" s="166">
        <v>46722</v>
      </c>
      <c r="F221" s="139">
        <v>473.92</v>
      </c>
      <c r="G221" s="144">
        <f t="shared" si="31"/>
        <v>12321.92</v>
      </c>
      <c r="H221" s="167">
        <v>26</v>
      </c>
      <c r="I221" s="168">
        <v>26000</v>
      </c>
      <c r="J221" s="169"/>
      <c r="K221" s="31"/>
      <c r="L221" s="33">
        <f>21000-21*1000</f>
        <v>0</v>
      </c>
      <c r="M221" s="34">
        <f>5000+21*1000</f>
        <v>26000</v>
      </c>
      <c r="N221" s="35">
        <v>0</v>
      </c>
      <c r="O221" s="36"/>
      <c r="P221" s="37">
        <f t="shared" ref="P221:P223" si="38">L221+M221+N221</f>
        <v>26000</v>
      </c>
    </row>
    <row r="222" spans="1:16" ht="14.25">
      <c r="A222" s="147">
        <v>34</v>
      </c>
      <c r="B222" s="163" t="s">
        <v>289</v>
      </c>
      <c r="C222" s="164" t="s">
        <v>20</v>
      </c>
      <c r="D222" s="165" t="s">
        <v>251</v>
      </c>
      <c r="E222" s="166">
        <v>46388</v>
      </c>
      <c r="F222" s="139">
        <v>520.04999999999995</v>
      </c>
      <c r="G222" s="144">
        <f t="shared" si="31"/>
        <v>7800.7499999999991</v>
      </c>
      <c r="H222" s="167">
        <v>15</v>
      </c>
      <c r="I222" s="168">
        <v>14230</v>
      </c>
      <c r="J222" s="169"/>
      <c r="K222" s="31"/>
      <c r="L222" s="33">
        <f>5000-5000</f>
        <v>0</v>
      </c>
      <c r="M222" s="34">
        <v>14230</v>
      </c>
      <c r="N222" s="35"/>
      <c r="O222" s="36"/>
      <c r="P222" s="37">
        <f t="shared" si="38"/>
        <v>14230</v>
      </c>
    </row>
    <row r="223" spans="1:16" ht="14.25">
      <c r="A223" s="147">
        <v>35</v>
      </c>
      <c r="B223" s="163" t="s">
        <v>290</v>
      </c>
      <c r="C223" s="164" t="s">
        <v>20</v>
      </c>
      <c r="D223" s="165" t="s">
        <v>71</v>
      </c>
      <c r="E223" s="166">
        <v>47119</v>
      </c>
      <c r="F223" s="139">
        <v>103.43</v>
      </c>
      <c r="G223" s="144">
        <f t="shared" si="31"/>
        <v>310.29000000000002</v>
      </c>
      <c r="H223" s="167">
        <v>3</v>
      </c>
      <c r="I223" s="168">
        <v>150</v>
      </c>
      <c r="J223" s="169"/>
      <c r="K223" s="31"/>
      <c r="L223" s="33">
        <v>0</v>
      </c>
      <c r="M223" s="34">
        <v>150</v>
      </c>
      <c r="N223" s="35"/>
      <c r="O223" s="36"/>
      <c r="P223" s="37">
        <f t="shared" si="38"/>
        <v>150</v>
      </c>
    </row>
    <row r="224" spans="1:16" ht="14.25">
      <c r="A224" s="147"/>
      <c r="B224" s="188" t="s">
        <v>291</v>
      </c>
      <c r="C224" s="164" t="s">
        <v>20</v>
      </c>
      <c r="D224" s="165" t="s">
        <v>248</v>
      </c>
      <c r="E224" s="166"/>
      <c r="F224" s="139">
        <v>230</v>
      </c>
      <c r="G224" s="144">
        <f t="shared" si="31"/>
        <v>69000</v>
      </c>
      <c r="H224" s="167">
        <v>300</v>
      </c>
      <c r="I224" s="168">
        <v>30000</v>
      </c>
      <c r="J224" s="169"/>
      <c r="K224" s="31"/>
      <c r="L224" s="33"/>
      <c r="M224" s="34">
        <v>300</v>
      </c>
      <c r="N224" s="35"/>
      <c r="O224" s="36"/>
      <c r="P224" s="37"/>
    </row>
    <row r="225" spans="1:16" ht="14.25">
      <c r="A225" s="147">
        <v>36</v>
      </c>
      <c r="B225" s="163" t="s">
        <v>292</v>
      </c>
      <c r="C225" s="164" t="s">
        <v>118</v>
      </c>
      <c r="D225" s="165"/>
      <c r="E225" s="166">
        <v>46327</v>
      </c>
      <c r="F225" s="139">
        <v>37.630000000000003</v>
      </c>
      <c r="G225" s="144">
        <f t="shared" si="31"/>
        <v>5606.8700000000008</v>
      </c>
      <c r="H225" s="167">
        <v>149</v>
      </c>
      <c r="I225" s="168"/>
      <c r="J225" s="169"/>
      <c r="K225" s="31"/>
      <c r="L225" s="33"/>
      <c r="M225" s="34">
        <v>75</v>
      </c>
      <c r="N225" s="35">
        <v>74</v>
      </c>
      <c r="O225" s="36"/>
      <c r="P225" s="37">
        <f t="shared" ref="P225:P226" si="39">L225+M225+N225</f>
        <v>149</v>
      </c>
    </row>
    <row r="226" spans="1:16" ht="28.5" hidden="1">
      <c r="A226" s="147">
        <v>37</v>
      </c>
      <c r="B226" s="163" t="s">
        <v>293</v>
      </c>
      <c r="C226" s="164" t="s">
        <v>20</v>
      </c>
      <c r="D226" s="165" t="s">
        <v>248</v>
      </c>
      <c r="E226" s="166">
        <v>45901</v>
      </c>
      <c r="F226" s="139">
        <v>1537</v>
      </c>
      <c r="G226" s="144">
        <f t="shared" si="31"/>
        <v>0</v>
      </c>
      <c r="H226" s="167">
        <v>0</v>
      </c>
      <c r="I226" s="168">
        <v>0</v>
      </c>
      <c r="J226" s="169"/>
      <c r="K226" s="31"/>
      <c r="L226" s="33">
        <v>0</v>
      </c>
      <c r="M226" s="34">
        <v>0</v>
      </c>
      <c r="N226" s="35"/>
      <c r="O226" s="36"/>
      <c r="P226" s="37">
        <f t="shared" si="39"/>
        <v>0</v>
      </c>
    </row>
    <row r="227" spans="1:16" ht="28.5">
      <c r="A227" s="147">
        <v>38</v>
      </c>
      <c r="B227" s="163" t="s">
        <v>294</v>
      </c>
      <c r="C227" s="164" t="s">
        <v>20</v>
      </c>
      <c r="D227" s="165" t="s">
        <v>248</v>
      </c>
      <c r="E227" s="166"/>
      <c r="F227" s="139">
        <v>1575.02</v>
      </c>
      <c r="G227" s="144">
        <f t="shared" si="31"/>
        <v>4725.0599999999995</v>
      </c>
      <c r="H227" s="167">
        <v>3</v>
      </c>
      <c r="I227" s="168">
        <v>300</v>
      </c>
      <c r="J227" s="169"/>
      <c r="K227" s="31"/>
      <c r="L227" s="33">
        <v>0</v>
      </c>
      <c r="M227" s="34">
        <v>300</v>
      </c>
      <c r="N227" s="35"/>
      <c r="O227" s="36"/>
      <c r="P227" s="37"/>
    </row>
    <row r="228" spans="1:16" ht="14.25">
      <c r="A228" s="147">
        <v>39</v>
      </c>
      <c r="B228" s="163" t="s">
        <v>295</v>
      </c>
      <c r="C228" s="164" t="s">
        <v>20</v>
      </c>
      <c r="D228" s="165" t="s">
        <v>261</v>
      </c>
      <c r="E228" s="166">
        <v>46053</v>
      </c>
      <c r="F228" s="139">
        <v>101.38</v>
      </c>
      <c r="G228" s="144">
        <f t="shared" si="31"/>
        <v>506.9</v>
      </c>
      <c r="H228" s="167">
        <v>5</v>
      </c>
      <c r="I228" s="168">
        <v>490</v>
      </c>
      <c r="J228" s="169"/>
      <c r="K228" s="31"/>
      <c r="L228" s="33"/>
      <c r="M228" s="34"/>
      <c r="N228" s="35"/>
      <c r="O228" s="36"/>
      <c r="P228" s="37"/>
    </row>
    <row r="229" spans="1:16" ht="14.25">
      <c r="A229" s="147">
        <v>40</v>
      </c>
      <c r="B229" s="163" t="s">
        <v>296</v>
      </c>
      <c r="C229" s="164" t="s">
        <v>20</v>
      </c>
      <c r="D229" s="165" t="s">
        <v>261</v>
      </c>
      <c r="E229" s="166">
        <v>46053</v>
      </c>
      <c r="F229" s="139">
        <v>108.13800000000001</v>
      </c>
      <c r="G229" s="144">
        <f t="shared" si="31"/>
        <v>540.69000000000005</v>
      </c>
      <c r="H229" s="167">
        <v>5</v>
      </c>
      <c r="I229" s="168">
        <v>490</v>
      </c>
      <c r="J229" s="169"/>
      <c r="K229" s="31"/>
      <c r="L229" s="33"/>
      <c r="M229" s="34"/>
      <c r="N229" s="35"/>
      <c r="O229" s="36"/>
      <c r="P229" s="37"/>
    </row>
    <row r="230" spans="1:16" ht="14.25">
      <c r="A230" s="147">
        <v>41</v>
      </c>
      <c r="B230" s="163" t="s">
        <v>297</v>
      </c>
      <c r="C230" s="164" t="s">
        <v>20</v>
      </c>
      <c r="D230" s="165" t="s">
        <v>261</v>
      </c>
      <c r="E230" s="166">
        <v>46023</v>
      </c>
      <c r="F230" s="139">
        <v>137.58600000000001</v>
      </c>
      <c r="G230" s="144">
        <f t="shared" si="31"/>
        <v>687.93000000000006</v>
      </c>
      <c r="H230" s="167">
        <v>5</v>
      </c>
      <c r="I230" s="168">
        <v>490</v>
      </c>
      <c r="J230" s="169"/>
      <c r="K230" s="31"/>
      <c r="L230" s="33"/>
      <c r="M230" s="34"/>
      <c r="N230" s="35"/>
      <c r="O230" s="36"/>
      <c r="P230" s="37"/>
    </row>
    <row r="231" spans="1:16" ht="14.25">
      <c r="A231" s="147">
        <v>42</v>
      </c>
      <c r="B231" s="163" t="s">
        <v>298</v>
      </c>
      <c r="C231" s="164" t="s">
        <v>20</v>
      </c>
      <c r="D231" s="165" t="s">
        <v>261</v>
      </c>
      <c r="E231" s="166">
        <v>46023</v>
      </c>
      <c r="F231" s="139">
        <v>292.07</v>
      </c>
      <c r="G231" s="144">
        <f t="shared" si="31"/>
        <v>2920.7</v>
      </c>
      <c r="H231" s="167">
        <v>10</v>
      </c>
      <c r="I231" s="168">
        <v>980</v>
      </c>
      <c r="J231" s="169"/>
      <c r="K231" s="31"/>
      <c r="L231" s="33"/>
      <c r="M231" s="34"/>
      <c r="N231" s="35"/>
      <c r="O231" s="36"/>
      <c r="P231" s="37"/>
    </row>
    <row r="232" spans="1:16" ht="28.5">
      <c r="A232" s="147">
        <v>43</v>
      </c>
      <c r="B232" s="163" t="s">
        <v>299</v>
      </c>
      <c r="C232" s="164" t="s">
        <v>20</v>
      </c>
      <c r="D232" s="165" t="s">
        <v>248</v>
      </c>
      <c r="E232" s="166">
        <v>46082</v>
      </c>
      <c r="F232" s="139">
        <v>45.69</v>
      </c>
      <c r="G232" s="144">
        <f t="shared" si="31"/>
        <v>5802.63</v>
      </c>
      <c r="H232" s="167">
        <v>127</v>
      </c>
      <c r="I232" s="168">
        <v>12630</v>
      </c>
      <c r="J232" s="169"/>
      <c r="K232" s="31"/>
      <c r="L232" s="33">
        <f>15000-150*100</f>
        <v>0</v>
      </c>
      <c r="M232" s="34">
        <v>12630</v>
      </c>
      <c r="N232" s="35"/>
      <c r="O232" s="36"/>
      <c r="P232" s="37">
        <f t="shared" ref="P232:P235" si="40">L232+M232+N232</f>
        <v>12630</v>
      </c>
    </row>
    <row r="233" spans="1:16" ht="14.25">
      <c r="A233" s="147">
        <v>44</v>
      </c>
      <c r="B233" s="163" t="s">
        <v>300</v>
      </c>
      <c r="C233" s="164" t="s">
        <v>20</v>
      </c>
      <c r="D233" s="165" t="s">
        <v>259</v>
      </c>
      <c r="E233" s="166">
        <v>46023</v>
      </c>
      <c r="F233" s="139">
        <v>76.900000000000006</v>
      </c>
      <c r="G233" s="144">
        <f t="shared" si="31"/>
        <v>4690.9000000000005</v>
      </c>
      <c r="H233" s="167">
        <v>61</v>
      </c>
      <c r="I233" s="168">
        <v>1708</v>
      </c>
      <c r="J233" s="169"/>
      <c r="K233" s="31"/>
      <c r="L233" s="33">
        <f>85*28-85*28</f>
        <v>0</v>
      </c>
      <c r="M233" s="34">
        <v>1708</v>
      </c>
      <c r="N233" s="35"/>
      <c r="O233" s="36"/>
      <c r="P233" s="37">
        <f t="shared" si="40"/>
        <v>1708</v>
      </c>
    </row>
    <row r="234" spans="1:16" ht="28.5">
      <c r="A234" s="147">
        <v>45</v>
      </c>
      <c r="B234" s="163" t="s">
        <v>301</v>
      </c>
      <c r="C234" s="164" t="s">
        <v>20</v>
      </c>
      <c r="D234" s="165" t="s">
        <v>259</v>
      </c>
      <c r="E234" s="166">
        <v>45962</v>
      </c>
      <c r="F234" s="139">
        <v>250</v>
      </c>
      <c r="G234" s="144">
        <f t="shared" si="31"/>
        <v>6500</v>
      </c>
      <c r="H234" s="167">
        <v>26</v>
      </c>
      <c r="I234" s="168"/>
      <c r="J234" s="31"/>
      <c r="K234" s="31"/>
      <c r="L234" s="33">
        <v>0</v>
      </c>
      <c r="M234" s="34">
        <v>26</v>
      </c>
      <c r="N234" s="35">
        <v>0</v>
      </c>
      <c r="O234" s="36"/>
      <c r="P234" s="37">
        <f t="shared" si="40"/>
        <v>26</v>
      </c>
    </row>
    <row r="235" spans="1:16" ht="14.25" hidden="1">
      <c r="A235" s="147">
        <v>46</v>
      </c>
      <c r="B235" s="163" t="s">
        <v>302</v>
      </c>
      <c r="C235" s="164" t="s">
        <v>20</v>
      </c>
      <c r="D235" s="165" t="s">
        <v>248</v>
      </c>
      <c r="E235" s="166">
        <v>46447</v>
      </c>
      <c r="F235" s="139">
        <v>111.98</v>
      </c>
      <c r="G235" s="144">
        <f t="shared" si="31"/>
        <v>0</v>
      </c>
      <c r="H235" s="167">
        <v>0</v>
      </c>
      <c r="I235" s="168">
        <v>0</v>
      </c>
      <c r="J235" s="169"/>
      <c r="K235" s="31"/>
      <c r="L235" s="33"/>
      <c r="M235" s="34">
        <v>0</v>
      </c>
      <c r="N235" s="35"/>
      <c r="O235" s="36"/>
      <c r="P235" s="37">
        <f t="shared" si="40"/>
        <v>0</v>
      </c>
    </row>
    <row r="236" spans="1:16" ht="28.5">
      <c r="A236" s="147">
        <v>47</v>
      </c>
      <c r="B236" s="163" t="s">
        <v>303</v>
      </c>
      <c r="C236" s="164" t="s">
        <v>20</v>
      </c>
      <c r="D236" s="165" t="s">
        <v>248</v>
      </c>
      <c r="E236" s="166">
        <v>46023</v>
      </c>
      <c r="F236" s="139">
        <v>89.311000000000007</v>
      </c>
      <c r="G236" s="144">
        <f t="shared" si="31"/>
        <v>893.11000000000013</v>
      </c>
      <c r="H236" s="167">
        <v>10</v>
      </c>
      <c r="I236" s="168">
        <v>1000</v>
      </c>
      <c r="J236" s="169"/>
      <c r="K236" s="31"/>
      <c r="L236" s="33"/>
      <c r="M236" s="34"/>
      <c r="N236" s="35"/>
      <c r="O236" s="36"/>
      <c r="P236" s="37"/>
    </row>
    <row r="237" spans="1:16" ht="28.5">
      <c r="A237" s="147">
        <v>48</v>
      </c>
      <c r="B237" s="163" t="s">
        <v>304</v>
      </c>
      <c r="C237" s="164" t="s">
        <v>20</v>
      </c>
      <c r="D237" s="165" t="s">
        <v>248</v>
      </c>
      <c r="E237" s="166">
        <v>46023</v>
      </c>
      <c r="F237" s="139">
        <v>103.31100000000001</v>
      </c>
      <c r="G237" s="144">
        <f t="shared" si="31"/>
        <v>1033.1100000000001</v>
      </c>
      <c r="H237" s="167">
        <v>10</v>
      </c>
      <c r="I237" s="168">
        <v>1000</v>
      </c>
      <c r="J237" s="169"/>
      <c r="K237" s="31"/>
      <c r="L237" s="33"/>
      <c r="M237" s="34"/>
      <c r="N237" s="35"/>
      <c r="O237" s="36"/>
      <c r="P237" s="37"/>
    </row>
    <row r="238" spans="1:16" ht="28.5">
      <c r="A238" s="147">
        <v>49</v>
      </c>
      <c r="B238" s="163" t="s">
        <v>305</v>
      </c>
      <c r="C238" s="164" t="s">
        <v>20</v>
      </c>
      <c r="D238" s="165" t="s">
        <v>306</v>
      </c>
      <c r="E238" s="166">
        <v>46023</v>
      </c>
      <c r="F238" s="139">
        <v>59.38</v>
      </c>
      <c r="G238" s="144">
        <f t="shared" si="31"/>
        <v>296.90000000000003</v>
      </c>
      <c r="H238" s="167">
        <v>5</v>
      </c>
      <c r="I238" s="168">
        <v>210</v>
      </c>
      <c r="J238" s="169"/>
      <c r="K238" s="31"/>
      <c r="L238" s="33"/>
      <c r="M238" s="34"/>
      <c r="N238" s="35"/>
      <c r="O238" s="36"/>
      <c r="P238" s="37"/>
    </row>
    <row r="239" spans="1:16" ht="14.25">
      <c r="A239" s="147">
        <v>50</v>
      </c>
      <c r="B239" s="163" t="s">
        <v>307</v>
      </c>
      <c r="C239" s="164" t="s">
        <v>20</v>
      </c>
      <c r="D239" s="165" t="s">
        <v>248</v>
      </c>
      <c r="E239" s="166">
        <v>46419</v>
      </c>
      <c r="F239" s="139">
        <v>46.11</v>
      </c>
      <c r="G239" s="144">
        <f t="shared" si="31"/>
        <v>1152.75</v>
      </c>
      <c r="H239" s="167">
        <v>25</v>
      </c>
      <c r="I239" s="168">
        <v>2500</v>
      </c>
      <c r="J239" s="169"/>
      <c r="K239" s="31"/>
      <c r="L239" s="33">
        <f>3000-600-24*100</f>
        <v>0</v>
      </c>
      <c r="M239" s="34">
        <v>1900</v>
      </c>
      <c r="N239" s="35">
        <v>600</v>
      </c>
      <c r="O239" s="36"/>
      <c r="P239" s="37">
        <f t="shared" ref="P239:P242" si="41">L239+M239+N239</f>
        <v>2500</v>
      </c>
    </row>
    <row r="240" spans="1:16" ht="14.25">
      <c r="A240" s="147">
        <v>51</v>
      </c>
      <c r="B240" s="163" t="s">
        <v>308</v>
      </c>
      <c r="C240" s="164" t="s">
        <v>20</v>
      </c>
      <c r="D240" s="165" t="s">
        <v>251</v>
      </c>
      <c r="E240" s="166">
        <v>46447</v>
      </c>
      <c r="F240" s="139">
        <v>478.84</v>
      </c>
      <c r="G240" s="144">
        <f t="shared" si="31"/>
        <v>5267.24</v>
      </c>
      <c r="H240" s="167">
        <v>11</v>
      </c>
      <c r="I240" s="168">
        <v>11000</v>
      </c>
      <c r="J240" s="169"/>
      <c r="K240" s="31"/>
      <c r="L240" s="33">
        <f>10*1000-10000</f>
        <v>0</v>
      </c>
      <c r="M240" s="34">
        <v>11000</v>
      </c>
      <c r="N240" s="35"/>
      <c r="O240" s="36"/>
      <c r="P240" s="37">
        <f t="shared" si="41"/>
        <v>11000</v>
      </c>
    </row>
    <row r="241" spans="1:16" ht="14.25">
      <c r="A241" s="147">
        <v>52</v>
      </c>
      <c r="B241" s="163" t="s">
        <v>309</v>
      </c>
      <c r="C241" s="164" t="s">
        <v>266</v>
      </c>
      <c r="D241" s="165" t="s">
        <v>37</v>
      </c>
      <c r="E241" s="166">
        <v>46419</v>
      </c>
      <c r="F241" s="139">
        <v>140.65</v>
      </c>
      <c r="G241" s="144">
        <f t="shared" si="31"/>
        <v>140.65</v>
      </c>
      <c r="H241" s="167">
        <v>1</v>
      </c>
      <c r="I241" s="168">
        <v>10</v>
      </c>
      <c r="J241" s="170"/>
      <c r="K241" s="31"/>
      <c r="L241" s="33">
        <v>0</v>
      </c>
      <c r="M241" s="34">
        <v>10</v>
      </c>
      <c r="N241" s="35"/>
      <c r="O241" s="36"/>
      <c r="P241" s="37">
        <f t="shared" si="41"/>
        <v>10</v>
      </c>
    </row>
    <row r="242" spans="1:16" ht="28.5" hidden="1">
      <c r="A242" s="147">
        <v>53</v>
      </c>
      <c r="B242" s="163" t="s">
        <v>310</v>
      </c>
      <c r="C242" s="164" t="s">
        <v>20</v>
      </c>
      <c r="D242" s="165" t="s">
        <v>37</v>
      </c>
      <c r="E242" s="166">
        <v>45870</v>
      </c>
      <c r="F242" s="139">
        <v>132.69</v>
      </c>
      <c r="G242" s="144">
        <f t="shared" si="31"/>
        <v>0</v>
      </c>
      <c r="H242" s="167">
        <v>0</v>
      </c>
      <c r="I242" s="168">
        <v>0</v>
      </c>
      <c r="J242" s="170"/>
      <c r="K242" s="31"/>
      <c r="L242" s="33">
        <v>0</v>
      </c>
      <c r="M242" s="34">
        <v>0</v>
      </c>
      <c r="N242" s="35"/>
      <c r="O242" s="36"/>
      <c r="P242" s="37">
        <f t="shared" si="41"/>
        <v>0</v>
      </c>
    </row>
    <row r="243" spans="1:16" ht="14.25">
      <c r="A243" s="147">
        <v>54</v>
      </c>
      <c r="B243" s="163" t="s">
        <v>311</v>
      </c>
      <c r="C243" s="164" t="s">
        <v>20</v>
      </c>
      <c r="D243" s="165" t="s">
        <v>40</v>
      </c>
      <c r="E243" s="166">
        <v>46023</v>
      </c>
      <c r="F243" s="139">
        <v>23.172499999999999</v>
      </c>
      <c r="G243" s="144">
        <f t="shared" si="31"/>
        <v>92.69</v>
      </c>
      <c r="H243" s="167">
        <v>4</v>
      </c>
      <c r="I243" s="168">
        <v>80</v>
      </c>
      <c r="J243" s="169"/>
      <c r="K243" s="31"/>
      <c r="L243" s="33"/>
      <c r="M243" s="34"/>
      <c r="N243" s="35"/>
      <c r="O243" s="36"/>
      <c r="P243" s="37"/>
    </row>
    <row r="244" spans="1:16" ht="14.25">
      <c r="A244" s="147">
        <v>55</v>
      </c>
      <c r="B244" s="163" t="s">
        <v>312</v>
      </c>
      <c r="C244" s="164" t="s">
        <v>20</v>
      </c>
      <c r="D244" s="165" t="s">
        <v>248</v>
      </c>
      <c r="E244" s="166">
        <v>46388</v>
      </c>
      <c r="F244" s="139">
        <v>116.91</v>
      </c>
      <c r="G244" s="144">
        <f t="shared" si="31"/>
        <v>116.91</v>
      </c>
      <c r="H244" s="167">
        <v>1</v>
      </c>
      <c r="I244" s="168">
        <v>70</v>
      </c>
      <c r="J244" s="169"/>
      <c r="K244" s="31"/>
      <c r="L244" s="33">
        <v>0</v>
      </c>
      <c r="M244" s="34">
        <v>0</v>
      </c>
      <c r="N244" s="35"/>
      <c r="O244" s="36"/>
      <c r="P244" s="37">
        <f t="shared" ref="P244:P247" si="42">L244+M244+N244</f>
        <v>0</v>
      </c>
    </row>
    <row r="245" spans="1:16" ht="14.25">
      <c r="A245" s="147">
        <v>56</v>
      </c>
      <c r="B245" s="163" t="s">
        <v>312</v>
      </c>
      <c r="C245" s="164" t="s">
        <v>20</v>
      </c>
      <c r="D245" s="165" t="s">
        <v>248</v>
      </c>
      <c r="E245" s="166"/>
      <c r="F245" s="139">
        <v>43</v>
      </c>
      <c r="G245" s="144">
        <f t="shared" si="31"/>
        <v>301</v>
      </c>
      <c r="H245" s="167">
        <v>7</v>
      </c>
      <c r="I245" s="168">
        <v>700</v>
      </c>
      <c r="J245" s="169"/>
      <c r="K245" s="31"/>
      <c r="L245" s="33">
        <f>1000-200-800</f>
        <v>0</v>
      </c>
      <c r="M245" s="34">
        <v>550</v>
      </c>
      <c r="N245" s="35">
        <v>150</v>
      </c>
      <c r="O245" s="36"/>
      <c r="P245" s="37">
        <f t="shared" si="42"/>
        <v>700</v>
      </c>
    </row>
    <row r="246" spans="1:16" ht="18.75" customHeight="1">
      <c r="A246" s="147">
        <v>57</v>
      </c>
      <c r="B246" s="163" t="s">
        <v>313</v>
      </c>
      <c r="C246" s="164" t="s">
        <v>20</v>
      </c>
      <c r="D246" s="165" t="s">
        <v>40</v>
      </c>
      <c r="E246" s="166">
        <v>46023</v>
      </c>
      <c r="F246" s="139">
        <v>22.48</v>
      </c>
      <c r="G246" s="144">
        <f t="shared" si="31"/>
        <v>8295.1200000000008</v>
      </c>
      <c r="H246" s="167">
        <v>369</v>
      </c>
      <c r="I246" s="168">
        <v>7380</v>
      </c>
      <c r="J246" s="169"/>
      <c r="K246" s="31"/>
      <c r="L246" s="33">
        <v>0</v>
      </c>
      <c r="M246" s="34">
        <v>6660</v>
      </c>
      <c r="N246" s="35">
        <v>720</v>
      </c>
      <c r="O246" s="36"/>
      <c r="P246" s="37">
        <f t="shared" si="42"/>
        <v>7380</v>
      </c>
    </row>
    <row r="247" spans="1:16" ht="57" hidden="1">
      <c r="A247" s="147">
        <v>58</v>
      </c>
      <c r="B247" s="163" t="s">
        <v>314</v>
      </c>
      <c r="C247" s="164" t="s">
        <v>20</v>
      </c>
      <c r="D247" s="165" t="s">
        <v>315</v>
      </c>
      <c r="E247" s="166">
        <v>45901</v>
      </c>
      <c r="F247" s="139">
        <v>250</v>
      </c>
      <c r="G247" s="144">
        <f t="shared" si="31"/>
        <v>0</v>
      </c>
      <c r="H247" s="167">
        <v>0</v>
      </c>
      <c r="I247" s="168"/>
      <c r="J247" s="31"/>
      <c r="K247" s="31"/>
      <c r="L247" s="33">
        <v>0</v>
      </c>
      <c r="M247" s="34">
        <v>0</v>
      </c>
      <c r="N247" s="35"/>
      <c r="O247" s="36"/>
      <c r="P247" s="37">
        <f t="shared" si="42"/>
        <v>0</v>
      </c>
    </row>
    <row r="248" spans="1:16" ht="14.25">
      <c r="A248" s="147"/>
      <c r="B248" s="189" t="s">
        <v>316</v>
      </c>
      <c r="C248" s="172" t="s">
        <v>20</v>
      </c>
      <c r="D248" s="173" t="s">
        <v>37</v>
      </c>
      <c r="E248" s="179"/>
      <c r="F248" s="175">
        <v>600</v>
      </c>
      <c r="G248" s="144">
        <f t="shared" si="31"/>
        <v>227400</v>
      </c>
      <c r="H248" s="154">
        <v>379</v>
      </c>
      <c r="I248" s="159"/>
      <c r="J248" s="156"/>
      <c r="K248" s="155"/>
      <c r="L248" s="157"/>
      <c r="M248" s="176">
        <v>379</v>
      </c>
      <c r="N248" s="190"/>
      <c r="O248" s="155"/>
      <c r="P248" s="37"/>
    </row>
    <row r="249" spans="1:16" ht="30">
      <c r="A249" s="147">
        <v>59</v>
      </c>
      <c r="B249" s="191" t="s">
        <v>317</v>
      </c>
      <c r="C249" s="172" t="s">
        <v>20</v>
      </c>
      <c r="D249" s="173" t="s">
        <v>318</v>
      </c>
      <c r="E249" s="179">
        <v>46023</v>
      </c>
      <c r="F249" s="192">
        <v>244.75899999999999</v>
      </c>
      <c r="G249" s="144">
        <f t="shared" si="31"/>
        <v>2447.5899999999997</v>
      </c>
      <c r="H249" s="154">
        <v>10</v>
      </c>
      <c r="I249" s="159">
        <v>560</v>
      </c>
      <c r="J249" s="156"/>
      <c r="K249" s="155"/>
      <c r="L249" s="157"/>
      <c r="M249" s="176"/>
      <c r="N249" s="190"/>
      <c r="O249" s="155"/>
      <c r="P249" s="37"/>
    </row>
    <row r="250" spans="1:16" ht="15">
      <c r="A250" s="147">
        <v>6</v>
      </c>
      <c r="B250" s="191" t="s">
        <v>319</v>
      </c>
      <c r="C250" s="172" t="s">
        <v>20</v>
      </c>
      <c r="D250" s="173" t="s">
        <v>251</v>
      </c>
      <c r="E250" s="179">
        <v>46844</v>
      </c>
      <c r="F250" s="192">
        <v>1648.41</v>
      </c>
      <c r="G250" s="144">
        <f t="shared" si="31"/>
        <v>4945.2300000000005</v>
      </c>
      <c r="H250" s="154">
        <v>3</v>
      </c>
      <c r="I250" s="159">
        <v>2880</v>
      </c>
      <c r="J250" s="156"/>
      <c r="K250" s="155"/>
      <c r="L250" s="157">
        <f>4*1000-4000</f>
        <v>0</v>
      </c>
      <c r="M250" s="176">
        <v>5560</v>
      </c>
      <c r="N250" s="190"/>
      <c r="O250" s="155"/>
      <c r="P250" s="37">
        <f t="shared" ref="P250:P251" si="43">L250+M250+N250</f>
        <v>5560</v>
      </c>
    </row>
    <row r="251" spans="1:16" ht="15">
      <c r="A251" s="147">
        <v>61</v>
      </c>
      <c r="B251" s="191" t="s">
        <v>320</v>
      </c>
      <c r="C251" s="172" t="s">
        <v>266</v>
      </c>
      <c r="D251" s="173" t="s">
        <v>231</v>
      </c>
      <c r="E251" s="179">
        <v>46508</v>
      </c>
      <c r="F251" s="175">
        <v>715.8</v>
      </c>
      <c r="G251" s="144">
        <f t="shared" si="31"/>
        <v>5010.5999999999995</v>
      </c>
      <c r="H251" s="154">
        <v>7</v>
      </c>
      <c r="I251" s="159">
        <v>116</v>
      </c>
      <c r="J251" s="156"/>
      <c r="K251" s="155"/>
      <c r="L251" s="157">
        <f>125-5*25</f>
        <v>0</v>
      </c>
      <c r="M251" s="176">
        <v>116</v>
      </c>
      <c r="N251" s="190"/>
      <c r="O251" s="155"/>
      <c r="P251" s="37">
        <f t="shared" si="43"/>
        <v>116</v>
      </c>
    </row>
    <row r="252" spans="1:16" ht="14.25">
      <c r="A252" s="147"/>
      <c r="B252" s="188" t="s">
        <v>321</v>
      </c>
      <c r="C252" s="172" t="s">
        <v>20</v>
      </c>
      <c r="D252" s="173" t="s">
        <v>241</v>
      </c>
      <c r="E252" s="179"/>
      <c r="F252" s="175">
        <v>20</v>
      </c>
      <c r="G252" s="144">
        <f t="shared" si="31"/>
        <v>6000</v>
      </c>
      <c r="H252" s="154">
        <v>300</v>
      </c>
      <c r="I252" s="159">
        <v>9000</v>
      </c>
      <c r="J252" s="156"/>
      <c r="K252" s="155"/>
      <c r="L252" s="157"/>
      <c r="M252" s="176"/>
      <c r="N252" s="190"/>
      <c r="O252" s="155"/>
      <c r="P252" s="37"/>
    </row>
    <row r="253" spans="1:16" ht="14.25">
      <c r="A253" s="147"/>
      <c r="B253" s="188" t="s">
        <v>322</v>
      </c>
      <c r="C253" s="172" t="s">
        <v>20</v>
      </c>
      <c r="D253" s="173" t="s">
        <v>37</v>
      </c>
      <c r="E253" s="179"/>
      <c r="F253" s="175">
        <v>80</v>
      </c>
      <c r="G253" s="144">
        <f t="shared" si="31"/>
        <v>24000</v>
      </c>
      <c r="H253" s="154">
        <v>300</v>
      </c>
      <c r="I253" s="159">
        <v>3000</v>
      </c>
      <c r="J253" s="156"/>
      <c r="K253" s="155"/>
      <c r="L253" s="157"/>
      <c r="M253" s="176"/>
      <c r="N253" s="190"/>
      <c r="O253" s="155"/>
      <c r="P253" s="37"/>
    </row>
    <row r="254" spans="1:16" ht="15">
      <c r="A254" s="147">
        <v>62</v>
      </c>
      <c r="B254" s="191" t="s">
        <v>323</v>
      </c>
      <c r="C254" s="172" t="s">
        <v>20</v>
      </c>
      <c r="D254" s="173" t="s">
        <v>248</v>
      </c>
      <c r="E254" s="179">
        <v>46023</v>
      </c>
      <c r="F254" s="192">
        <v>48.759</v>
      </c>
      <c r="G254" s="144">
        <f t="shared" si="31"/>
        <v>487.59000000000003</v>
      </c>
      <c r="H254" s="154">
        <v>10</v>
      </c>
      <c r="I254" s="159">
        <v>1000</v>
      </c>
      <c r="J254" s="156"/>
      <c r="K254" s="155"/>
      <c r="L254" s="157"/>
      <c r="M254" s="176"/>
      <c r="N254" s="190"/>
      <c r="O254" s="155"/>
      <c r="P254" s="37"/>
    </row>
    <row r="255" spans="1:16" ht="30">
      <c r="A255" s="147">
        <v>63</v>
      </c>
      <c r="B255" s="191" t="s">
        <v>324</v>
      </c>
      <c r="C255" s="172" t="s">
        <v>20</v>
      </c>
      <c r="D255" s="173" t="s">
        <v>37</v>
      </c>
      <c r="E255" s="179">
        <v>46266</v>
      </c>
      <c r="F255" s="192">
        <v>430.92</v>
      </c>
      <c r="G255" s="144">
        <f t="shared" si="31"/>
        <v>861.84</v>
      </c>
      <c r="H255" s="154">
        <v>2</v>
      </c>
      <c r="I255" s="159">
        <v>15</v>
      </c>
      <c r="J255" s="156"/>
      <c r="K255" s="155"/>
      <c r="L255" s="157">
        <v>0</v>
      </c>
      <c r="M255" s="176">
        <v>15</v>
      </c>
      <c r="N255" s="190"/>
      <c r="O255" s="155"/>
      <c r="P255" s="37">
        <f t="shared" ref="P255:P267" si="44">L255+M255+N255</f>
        <v>15</v>
      </c>
    </row>
    <row r="256" spans="1:16" ht="15" hidden="1">
      <c r="A256" s="147">
        <v>64</v>
      </c>
      <c r="B256" s="160" t="s">
        <v>325</v>
      </c>
      <c r="C256" s="149" t="s">
        <v>326</v>
      </c>
      <c r="D256" s="183"/>
      <c r="E256" s="150"/>
      <c r="F256" s="161">
        <v>7.36</v>
      </c>
      <c r="G256" s="153">
        <f t="shared" si="31"/>
        <v>0</v>
      </c>
      <c r="H256" s="162">
        <v>0</v>
      </c>
      <c r="I256" s="155"/>
      <c r="J256" s="155"/>
      <c r="K256" s="155"/>
      <c r="L256" s="157">
        <v>0</v>
      </c>
      <c r="M256" s="176">
        <v>0</v>
      </c>
      <c r="N256" s="190"/>
      <c r="O256" s="155"/>
      <c r="P256" s="37">
        <f t="shared" si="44"/>
        <v>0</v>
      </c>
    </row>
    <row r="257" spans="1:16" ht="45" hidden="1">
      <c r="A257" s="147">
        <v>65</v>
      </c>
      <c r="B257" s="177" t="s">
        <v>327</v>
      </c>
      <c r="C257" s="149" t="s">
        <v>20</v>
      </c>
      <c r="D257" s="183"/>
      <c r="E257" s="150"/>
      <c r="F257" s="152">
        <v>500</v>
      </c>
      <c r="G257" s="153">
        <f t="shared" si="31"/>
        <v>0</v>
      </c>
      <c r="H257" s="162">
        <v>0</v>
      </c>
      <c r="I257" s="155"/>
      <c r="J257" s="155"/>
      <c r="K257" s="155"/>
      <c r="L257" s="157">
        <v>0</v>
      </c>
      <c r="M257" s="176">
        <v>0</v>
      </c>
      <c r="N257" s="190"/>
      <c r="O257" s="155"/>
      <c r="P257" s="37">
        <f t="shared" si="44"/>
        <v>0</v>
      </c>
    </row>
    <row r="258" spans="1:16" ht="45">
      <c r="A258" s="147">
        <v>66</v>
      </c>
      <c r="B258" s="177" t="s">
        <v>328</v>
      </c>
      <c r="C258" s="149" t="s">
        <v>20</v>
      </c>
      <c r="D258" s="183"/>
      <c r="E258" s="150"/>
      <c r="F258" s="152">
        <v>300</v>
      </c>
      <c r="G258" s="153">
        <f t="shared" si="31"/>
        <v>27000</v>
      </c>
      <c r="H258" s="162">
        <v>90</v>
      </c>
      <c r="I258" s="155"/>
      <c r="J258" s="155"/>
      <c r="K258" s="155"/>
      <c r="L258" s="157">
        <v>0</v>
      </c>
      <c r="M258" s="176">
        <v>90</v>
      </c>
      <c r="N258" s="190"/>
      <c r="O258" s="155"/>
      <c r="P258" s="37">
        <f t="shared" si="44"/>
        <v>90</v>
      </c>
    </row>
    <row r="259" spans="1:16" ht="45">
      <c r="A259" s="147">
        <v>67</v>
      </c>
      <c r="B259" s="177" t="s">
        <v>329</v>
      </c>
      <c r="C259" s="149" t="s">
        <v>20</v>
      </c>
      <c r="D259" s="183"/>
      <c r="E259" s="182">
        <v>45962</v>
      </c>
      <c r="F259" s="152">
        <v>300</v>
      </c>
      <c r="G259" s="153">
        <f t="shared" si="31"/>
        <v>0</v>
      </c>
      <c r="H259" s="162">
        <v>0</v>
      </c>
      <c r="I259" s="155"/>
      <c r="J259" s="155"/>
      <c r="K259" s="155"/>
      <c r="L259" s="157">
        <v>0</v>
      </c>
      <c r="M259" s="176">
        <v>0</v>
      </c>
      <c r="N259" s="190"/>
      <c r="O259" s="155"/>
      <c r="P259" s="37">
        <f t="shared" si="44"/>
        <v>0</v>
      </c>
    </row>
    <row r="260" spans="1:16" ht="14.25">
      <c r="A260" s="147">
        <v>70</v>
      </c>
      <c r="B260" s="163" t="s">
        <v>330</v>
      </c>
      <c r="C260" s="164" t="s">
        <v>20</v>
      </c>
      <c r="D260" s="165" t="s">
        <v>248</v>
      </c>
      <c r="E260" s="166">
        <v>46023</v>
      </c>
      <c r="F260" s="139">
        <v>831.3</v>
      </c>
      <c r="G260" s="144">
        <f t="shared" si="31"/>
        <v>831.3</v>
      </c>
      <c r="H260" s="167">
        <v>1</v>
      </c>
      <c r="I260" s="168">
        <v>100</v>
      </c>
      <c r="J260" s="31"/>
      <c r="K260" s="31"/>
      <c r="L260" s="33">
        <v>0</v>
      </c>
      <c r="M260" s="34">
        <v>100</v>
      </c>
      <c r="N260" s="193"/>
      <c r="O260" s="36"/>
      <c r="P260" s="37">
        <f t="shared" si="44"/>
        <v>100</v>
      </c>
    </row>
    <row r="261" spans="1:16" ht="15">
      <c r="A261" s="147">
        <v>71</v>
      </c>
      <c r="B261" s="163" t="s">
        <v>330</v>
      </c>
      <c r="C261" s="164" t="s">
        <v>20</v>
      </c>
      <c r="D261" s="165" t="s">
        <v>248</v>
      </c>
      <c r="E261" s="194">
        <v>46023</v>
      </c>
      <c r="F261" s="195">
        <v>831.37</v>
      </c>
      <c r="G261" s="144">
        <f t="shared" si="31"/>
        <v>2494.11</v>
      </c>
      <c r="H261" s="196">
        <v>3</v>
      </c>
      <c r="I261" s="197">
        <v>300</v>
      </c>
      <c r="J261" s="156"/>
      <c r="K261" s="155"/>
      <c r="L261" s="157">
        <f>300-300</f>
        <v>0</v>
      </c>
      <c r="M261" s="176">
        <v>300</v>
      </c>
      <c r="N261" s="198">
        <v>0</v>
      </c>
      <c r="O261" s="155"/>
      <c r="P261" s="37">
        <f t="shared" si="44"/>
        <v>300</v>
      </c>
    </row>
    <row r="262" spans="1:16" ht="15">
      <c r="A262" s="147">
        <v>72</v>
      </c>
      <c r="B262" s="199" t="s">
        <v>331</v>
      </c>
      <c r="C262" s="164" t="s">
        <v>20</v>
      </c>
      <c r="D262" s="165" t="s">
        <v>248</v>
      </c>
      <c r="E262" s="194"/>
      <c r="F262" s="195">
        <v>637.64</v>
      </c>
      <c r="G262" s="144">
        <f t="shared" si="31"/>
        <v>63764</v>
      </c>
      <c r="H262" s="196">
        <v>100</v>
      </c>
      <c r="I262" s="197">
        <v>10000</v>
      </c>
      <c r="J262" s="156"/>
      <c r="K262" s="155"/>
      <c r="L262" s="157"/>
      <c r="M262" s="176">
        <v>10000</v>
      </c>
      <c r="N262" s="198"/>
      <c r="O262" s="155"/>
      <c r="P262" s="37">
        <f t="shared" si="44"/>
        <v>10000</v>
      </c>
    </row>
    <row r="263" spans="1:16" ht="15">
      <c r="A263" s="147">
        <v>74</v>
      </c>
      <c r="B263" s="199" t="s">
        <v>332</v>
      </c>
      <c r="C263" s="164" t="s">
        <v>20</v>
      </c>
      <c r="D263" s="165" t="s">
        <v>248</v>
      </c>
      <c r="E263" s="194">
        <v>46143</v>
      </c>
      <c r="F263" s="195">
        <v>164.84</v>
      </c>
      <c r="G263" s="144">
        <f t="shared" si="31"/>
        <v>494.52</v>
      </c>
      <c r="H263" s="196">
        <v>3</v>
      </c>
      <c r="I263" s="197">
        <v>230</v>
      </c>
      <c r="J263" s="156"/>
      <c r="K263" s="155"/>
      <c r="L263" s="157">
        <f>200-200</f>
        <v>0</v>
      </c>
      <c r="M263" s="176">
        <v>230</v>
      </c>
      <c r="N263" s="198"/>
      <c r="O263" s="155"/>
      <c r="P263" s="37">
        <f t="shared" si="44"/>
        <v>230</v>
      </c>
    </row>
    <row r="264" spans="1:16" ht="30">
      <c r="A264" s="147">
        <v>75</v>
      </c>
      <c r="B264" s="199" t="s">
        <v>333</v>
      </c>
      <c r="C264" s="164" t="s">
        <v>118</v>
      </c>
      <c r="D264" s="165"/>
      <c r="E264" s="194">
        <v>46388</v>
      </c>
      <c r="F264" s="195">
        <v>82.440399999999997</v>
      </c>
      <c r="G264" s="144">
        <f t="shared" si="31"/>
        <v>0</v>
      </c>
      <c r="H264" s="196">
        <v>0</v>
      </c>
      <c r="I264" s="200"/>
      <c r="J264" s="200"/>
      <c r="K264" s="155"/>
      <c r="L264" s="157"/>
      <c r="M264" s="176">
        <v>0</v>
      </c>
      <c r="N264" s="198">
        <v>0</v>
      </c>
      <c r="O264" s="155"/>
      <c r="P264" s="37">
        <f t="shared" si="44"/>
        <v>0</v>
      </c>
    </row>
    <row r="265" spans="1:16" ht="14.25">
      <c r="A265" s="147">
        <v>77</v>
      </c>
      <c r="B265" s="163" t="s">
        <v>334</v>
      </c>
      <c r="C265" s="164" t="s">
        <v>157</v>
      </c>
      <c r="D265" s="165" t="s">
        <v>335</v>
      </c>
      <c r="E265" s="165" t="s">
        <v>336</v>
      </c>
      <c r="F265" s="139">
        <v>1</v>
      </c>
      <c r="G265" s="153">
        <f t="shared" si="31"/>
        <v>960</v>
      </c>
      <c r="H265" s="167">
        <v>960</v>
      </c>
      <c r="I265" s="168"/>
      <c r="J265" s="31"/>
      <c r="K265" s="31"/>
      <c r="L265" s="33">
        <f>1000-200</f>
        <v>800</v>
      </c>
      <c r="M265" s="34">
        <v>160</v>
      </c>
      <c r="N265" s="193"/>
      <c r="O265" s="36"/>
      <c r="P265" s="37">
        <f t="shared" si="44"/>
        <v>960</v>
      </c>
    </row>
    <row r="266" spans="1:16" ht="42.75">
      <c r="A266" s="147">
        <v>78</v>
      </c>
      <c r="B266" s="201" t="s">
        <v>337</v>
      </c>
      <c r="C266" s="202" t="s">
        <v>118</v>
      </c>
      <c r="D266" s="203"/>
      <c r="E266" s="166">
        <v>46844</v>
      </c>
      <c r="F266" s="139">
        <v>21.67</v>
      </c>
      <c r="G266" s="204">
        <f t="shared" ref="G266:G268" si="45">F266*H266</f>
        <v>97081.600000000006</v>
      </c>
      <c r="H266" s="167">
        <v>4480</v>
      </c>
      <c r="I266" s="168"/>
      <c r="J266" s="31"/>
      <c r="K266" s="31"/>
      <c r="L266" s="33">
        <f>4500-500</f>
        <v>4000</v>
      </c>
      <c r="M266" s="34">
        <v>280</v>
      </c>
      <c r="N266" s="193">
        <v>200</v>
      </c>
      <c r="O266" s="36"/>
      <c r="P266" s="37">
        <f t="shared" si="44"/>
        <v>4480</v>
      </c>
    </row>
    <row r="267" spans="1:16" ht="25.5">
      <c r="A267" s="147">
        <v>79</v>
      </c>
      <c r="B267" s="205" t="s">
        <v>338</v>
      </c>
      <c r="C267" s="202" t="s">
        <v>118</v>
      </c>
      <c r="D267" s="203"/>
      <c r="E267" s="166"/>
      <c r="F267" s="139">
        <v>26.35</v>
      </c>
      <c r="G267" s="204">
        <f t="shared" si="45"/>
        <v>52.7</v>
      </c>
      <c r="H267" s="167">
        <v>2</v>
      </c>
      <c r="I267" s="168"/>
      <c r="J267" s="31"/>
      <c r="K267" s="31"/>
      <c r="L267" s="33">
        <v>0</v>
      </c>
      <c r="M267" s="34">
        <v>0</v>
      </c>
      <c r="N267" s="193">
        <v>2</v>
      </c>
      <c r="O267" s="36"/>
      <c r="P267" s="37">
        <f t="shared" si="44"/>
        <v>2</v>
      </c>
    </row>
    <row r="268" spans="1:16" ht="28.5">
      <c r="A268" s="147">
        <v>80</v>
      </c>
      <c r="B268" s="206" t="s">
        <v>339</v>
      </c>
      <c r="C268" s="202" t="s">
        <v>118</v>
      </c>
      <c r="D268" s="203"/>
      <c r="E268" s="166">
        <v>46327</v>
      </c>
      <c r="F268" s="139">
        <v>2</v>
      </c>
      <c r="G268" s="204">
        <f t="shared" si="45"/>
        <v>1000</v>
      </c>
      <c r="H268" s="167">
        <v>500</v>
      </c>
      <c r="I268" s="207"/>
      <c r="J268" s="47"/>
      <c r="K268" s="31"/>
      <c r="L268" s="33">
        <v>500</v>
      </c>
      <c r="M268" s="34"/>
      <c r="N268" s="193"/>
      <c r="O268" s="36"/>
      <c r="P268" s="37"/>
    </row>
    <row r="269" spans="1:16" ht="28.5">
      <c r="A269" s="147">
        <v>81</v>
      </c>
      <c r="B269" s="206" t="s">
        <v>340</v>
      </c>
      <c r="C269" s="202" t="s">
        <v>118</v>
      </c>
      <c r="D269" s="203"/>
      <c r="E269" s="166">
        <v>46023</v>
      </c>
      <c r="F269" s="208">
        <v>5.27</v>
      </c>
      <c r="G269" s="144">
        <f t="shared" ref="G269:G276" si="46">H269*F269</f>
        <v>105.39999999999999</v>
      </c>
      <c r="H269" s="167">
        <v>20</v>
      </c>
      <c r="I269" s="207"/>
      <c r="J269" s="47"/>
      <c r="K269" s="31"/>
      <c r="L269" s="33">
        <v>20</v>
      </c>
      <c r="M269" s="34">
        <v>0</v>
      </c>
      <c r="N269" s="193">
        <v>0</v>
      </c>
      <c r="O269" s="36"/>
      <c r="P269" s="37">
        <f>L269+M269+N269</f>
        <v>20</v>
      </c>
    </row>
    <row r="270" spans="1:16" ht="28.5">
      <c r="A270" s="147">
        <v>82</v>
      </c>
      <c r="B270" s="163" t="s">
        <v>341</v>
      </c>
      <c r="C270" s="164" t="s">
        <v>118</v>
      </c>
      <c r="D270" s="165"/>
      <c r="E270" s="209">
        <v>45992</v>
      </c>
      <c r="F270" s="139">
        <v>5</v>
      </c>
      <c r="G270" s="144">
        <f t="shared" si="46"/>
        <v>2795</v>
      </c>
      <c r="H270" s="167">
        <v>559</v>
      </c>
      <c r="I270" s="168"/>
      <c r="J270" s="31"/>
      <c r="K270" s="31"/>
      <c r="L270" s="33">
        <v>559</v>
      </c>
      <c r="M270" s="34"/>
      <c r="N270" s="193"/>
      <c r="O270" s="36"/>
      <c r="P270" s="37"/>
    </row>
    <row r="271" spans="1:16" ht="14.25">
      <c r="A271" s="147">
        <v>83</v>
      </c>
      <c r="B271" s="163" t="s">
        <v>342</v>
      </c>
      <c r="C271" s="164" t="s">
        <v>343</v>
      </c>
      <c r="D271" s="165" t="s">
        <v>248</v>
      </c>
      <c r="E271" s="165" t="s">
        <v>336</v>
      </c>
      <c r="F271" s="139">
        <v>1.5</v>
      </c>
      <c r="G271" s="144">
        <f t="shared" si="46"/>
        <v>1050</v>
      </c>
      <c r="H271" s="167">
        <v>700</v>
      </c>
      <c r="I271" s="168"/>
      <c r="J271" s="31"/>
      <c r="K271" s="31"/>
      <c r="L271" s="33">
        <v>700</v>
      </c>
      <c r="M271" s="34"/>
      <c r="N271" s="193"/>
      <c r="O271" s="36"/>
      <c r="P271" s="37"/>
    </row>
    <row r="272" spans="1:16" ht="26.25">
      <c r="A272" s="147">
        <v>84</v>
      </c>
      <c r="B272" s="210" t="s">
        <v>344</v>
      </c>
      <c r="C272" s="211" t="s">
        <v>118</v>
      </c>
      <c r="D272" s="212"/>
      <c r="E272" s="213" t="s">
        <v>345</v>
      </c>
      <c r="F272" s="211">
        <v>100</v>
      </c>
      <c r="G272" s="153">
        <f t="shared" si="46"/>
        <v>143800</v>
      </c>
      <c r="H272" s="211">
        <v>1438</v>
      </c>
      <c r="I272" s="214"/>
      <c r="J272" s="215"/>
      <c r="K272" s="216"/>
      <c r="L272" s="217">
        <f>1857-324-324-180</f>
        <v>1029</v>
      </c>
      <c r="M272" s="218">
        <v>199</v>
      </c>
      <c r="N272" s="219">
        <v>210</v>
      </c>
      <c r="O272" s="216"/>
      <c r="P272" s="37">
        <f t="shared" ref="P272:P278" si="47">L272+M272+N272</f>
        <v>1438</v>
      </c>
    </row>
    <row r="273" spans="1:16" ht="28.5">
      <c r="A273" s="147">
        <v>85</v>
      </c>
      <c r="B273" s="163" t="s">
        <v>346</v>
      </c>
      <c r="C273" s="164" t="s">
        <v>118</v>
      </c>
      <c r="D273" s="165"/>
      <c r="E273" s="166"/>
      <c r="F273" s="139">
        <v>61</v>
      </c>
      <c r="G273" s="144">
        <f t="shared" si="46"/>
        <v>915</v>
      </c>
      <c r="H273" s="167">
        <v>15</v>
      </c>
      <c r="I273" s="168"/>
      <c r="J273" s="31"/>
      <c r="K273" s="31"/>
      <c r="L273" s="33"/>
      <c r="M273" s="34"/>
      <c r="N273" s="193"/>
      <c r="P273" s="37">
        <f t="shared" si="47"/>
        <v>0</v>
      </c>
    </row>
    <row r="274" spans="1:16" ht="14.25">
      <c r="A274" s="147">
        <v>86</v>
      </c>
      <c r="B274" s="163" t="s">
        <v>347</v>
      </c>
      <c r="C274" s="164" t="s">
        <v>118</v>
      </c>
      <c r="D274" s="165"/>
      <c r="E274" s="166"/>
      <c r="F274" s="139">
        <v>87</v>
      </c>
      <c r="G274" s="144">
        <f t="shared" si="46"/>
        <v>261</v>
      </c>
      <c r="H274" s="167">
        <v>3</v>
      </c>
      <c r="I274" s="168"/>
      <c r="J274" s="31"/>
      <c r="K274" s="31"/>
      <c r="L274" s="33"/>
      <c r="M274" s="34">
        <v>8</v>
      </c>
      <c r="N274" s="193"/>
      <c r="O274" s="36"/>
      <c r="P274" s="37">
        <f t="shared" si="47"/>
        <v>8</v>
      </c>
    </row>
    <row r="275" spans="1:16" ht="42.75">
      <c r="A275" s="147">
        <v>87</v>
      </c>
      <c r="B275" s="163" t="s">
        <v>348</v>
      </c>
      <c r="C275" s="164" t="s">
        <v>20</v>
      </c>
      <c r="D275" s="165" t="s">
        <v>349</v>
      </c>
      <c r="E275" s="166"/>
      <c r="F275" s="139">
        <v>72.62</v>
      </c>
      <c r="G275" s="144">
        <f t="shared" si="46"/>
        <v>72.62</v>
      </c>
      <c r="H275" s="167">
        <v>1</v>
      </c>
      <c r="I275" s="168">
        <v>400</v>
      </c>
      <c r="J275" s="31"/>
      <c r="K275" s="31"/>
      <c r="L275" s="33">
        <f>500-100</f>
        <v>400</v>
      </c>
      <c r="M275" s="34">
        <v>0</v>
      </c>
      <c r="N275" s="193">
        <v>0</v>
      </c>
      <c r="O275" s="36"/>
      <c r="P275" s="37">
        <f t="shared" si="47"/>
        <v>400</v>
      </c>
    </row>
    <row r="276" spans="1:16" ht="28.5">
      <c r="A276" s="147">
        <v>88</v>
      </c>
      <c r="B276" s="201" t="s">
        <v>350</v>
      </c>
      <c r="C276" s="202" t="s">
        <v>20</v>
      </c>
      <c r="D276" s="220" t="s">
        <v>248</v>
      </c>
      <c r="E276" s="166">
        <v>46692</v>
      </c>
      <c r="F276" s="139">
        <v>202.71</v>
      </c>
      <c r="G276" s="144">
        <f t="shared" si="46"/>
        <v>608.13</v>
      </c>
      <c r="H276" s="167">
        <v>3</v>
      </c>
      <c r="I276" s="168">
        <v>300</v>
      </c>
      <c r="J276" s="31"/>
      <c r="K276" s="31"/>
      <c r="L276" s="33">
        <f>300</f>
        <v>300</v>
      </c>
      <c r="M276" s="34">
        <v>0</v>
      </c>
      <c r="N276" s="193">
        <v>0</v>
      </c>
      <c r="O276" s="36"/>
      <c r="P276" s="37">
        <f t="shared" si="47"/>
        <v>300</v>
      </c>
    </row>
    <row r="277" spans="1:16" ht="28.5">
      <c r="A277" s="147">
        <v>89</v>
      </c>
      <c r="B277" s="201" t="s">
        <v>350</v>
      </c>
      <c r="C277" s="202" t="s">
        <v>20</v>
      </c>
      <c r="D277" s="220"/>
      <c r="E277" s="166">
        <v>46692</v>
      </c>
      <c r="F277" s="139">
        <v>190.5</v>
      </c>
      <c r="G277" s="204">
        <f t="shared" ref="G277:G278" si="48">F277*H277</f>
        <v>571.5</v>
      </c>
      <c r="H277" s="167">
        <v>3</v>
      </c>
      <c r="I277" s="168">
        <v>255</v>
      </c>
      <c r="J277" s="31"/>
      <c r="K277" s="31"/>
      <c r="L277" s="33">
        <v>0</v>
      </c>
      <c r="M277" s="34">
        <v>255</v>
      </c>
      <c r="N277" s="193">
        <v>0</v>
      </c>
      <c r="O277" s="36"/>
      <c r="P277" s="37">
        <f t="shared" si="47"/>
        <v>255</v>
      </c>
    </row>
    <row r="278" spans="1:16" ht="28.5">
      <c r="A278" s="221"/>
      <c r="B278" s="143" t="s">
        <v>351</v>
      </c>
      <c r="C278" s="222" t="s">
        <v>118</v>
      </c>
      <c r="D278" s="223"/>
      <c r="E278" s="224"/>
      <c r="F278" s="225">
        <v>178.06</v>
      </c>
      <c r="G278" s="204">
        <f t="shared" si="48"/>
        <v>2670.9</v>
      </c>
      <c r="H278" s="225">
        <v>15</v>
      </c>
      <c r="I278" s="207"/>
      <c r="J278" s="47"/>
      <c r="K278" s="31"/>
      <c r="L278" s="33"/>
      <c r="M278" s="34">
        <v>9</v>
      </c>
      <c r="N278" s="35">
        <v>6</v>
      </c>
      <c r="O278" s="36"/>
      <c r="P278" s="37">
        <f t="shared" si="47"/>
        <v>15</v>
      </c>
    </row>
    <row r="279" spans="1:16" ht="12.75">
      <c r="A279" s="226"/>
      <c r="P279" s="227"/>
    </row>
    <row r="280" spans="1:16" ht="16.5" customHeight="1">
      <c r="A280" s="228"/>
      <c r="P280" s="227"/>
    </row>
    <row r="281" spans="1:16" ht="12.75">
      <c r="A281" s="228"/>
      <c r="M281" s="159">
        <v>0</v>
      </c>
      <c r="N281" s="159">
        <v>0</v>
      </c>
      <c r="O281" s="155"/>
      <c r="P281" s="227">
        <f>L281+M281+N281</f>
        <v>0</v>
      </c>
    </row>
    <row r="282" spans="1:16" ht="15">
      <c r="A282" s="228"/>
      <c r="B282" s="229"/>
      <c r="C282" s="230"/>
      <c r="D282" s="231"/>
      <c r="E282" s="231"/>
      <c r="F282" s="232"/>
      <c r="G282" s="233"/>
      <c r="H282" s="234"/>
      <c r="I282" s="155"/>
      <c r="J282" s="155"/>
      <c r="K282" s="155"/>
      <c r="L282" s="159"/>
      <c r="M282" s="159"/>
      <c r="N282" s="155"/>
      <c r="O282" s="155"/>
      <c r="P282" s="227"/>
    </row>
    <row r="283" spans="1:16" ht="15">
      <c r="A283" s="228"/>
      <c r="B283" s="229"/>
      <c r="C283" s="230"/>
      <c r="D283" s="231"/>
      <c r="E283" s="231"/>
      <c r="F283" s="232"/>
      <c r="G283" s="233"/>
      <c r="H283" s="234"/>
      <c r="I283" s="155"/>
      <c r="J283" s="155"/>
      <c r="K283" s="155"/>
      <c r="L283" s="159"/>
      <c r="M283" s="159"/>
      <c r="N283" s="155"/>
      <c r="O283" s="155"/>
      <c r="P283" s="227"/>
    </row>
    <row r="284" spans="1:16" ht="15">
      <c r="A284" s="228"/>
      <c r="B284" s="229"/>
      <c r="C284" s="230"/>
      <c r="D284" s="231"/>
      <c r="E284" s="231"/>
      <c r="F284" s="232"/>
      <c r="G284" s="233"/>
      <c r="H284" s="234"/>
      <c r="I284" s="155"/>
      <c r="J284" s="155"/>
      <c r="K284" s="155"/>
      <c r="L284" s="159"/>
      <c r="M284" s="159"/>
      <c r="N284" s="155"/>
      <c r="O284" s="155"/>
      <c r="P284" s="227"/>
    </row>
    <row r="285" spans="1:16" ht="12.75">
      <c r="A285" s="228"/>
      <c r="N285" s="155"/>
      <c r="O285" s="155"/>
      <c r="P285" s="155"/>
    </row>
    <row r="286" spans="1:16" ht="12.75">
      <c r="A286" s="228"/>
      <c r="O286" s="155"/>
      <c r="P286" s="155"/>
    </row>
    <row r="287" spans="1:16" ht="12.75">
      <c r="A287" s="235"/>
      <c r="B287" s="236"/>
      <c r="C287" s="231"/>
      <c r="D287" s="231"/>
      <c r="E287" s="231"/>
      <c r="F287" s="231"/>
      <c r="G287" s="231"/>
      <c r="H287" s="237"/>
      <c r="I287" s="155"/>
      <c r="J287" s="155"/>
      <c r="K287" s="155"/>
      <c r="L287" s="155"/>
      <c r="M287" s="155"/>
      <c r="N287" s="155"/>
      <c r="O287" s="155"/>
      <c r="P287" s="155"/>
    </row>
    <row r="288" spans="1:16" ht="12.75">
      <c r="A288" s="235"/>
      <c r="B288" s="236"/>
      <c r="C288" s="231"/>
      <c r="D288" s="231"/>
      <c r="E288" s="231"/>
      <c r="F288" s="231"/>
      <c r="G288" s="231"/>
      <c r="H288" s="237"/>
      <c r="I288" s="155"/>
      <c r="J288" s="155"/>
      <c r="K288" s="155"/>
      <c r="L288" s="155"/>
      <c r="M288" s="155"/>
      <c r="N288" s="155"/>
      <c r="O288" s="155"/>
      <c r="P288" s="155"/>
    </row>
    <row r="289" spans="1:16" ht="12.75">
      <c r="A289" s="235"/>
      <c r="B289" s="236"/>
      <c r="C289" s="231"/>
      <c r="D289" s="231"/>
      <c r="E289" s="231"/>
      <c r="F289" s="231"/>
      <c r="G289" s="231"/>
      <c r="H289" s="237"/>
      <c r="I289" s="155"/>
      <c r="J289" s="155"/>
      <c r="K289" s="155"/>
      <c r="L289" s="155"/>
      <c r="M289" s="155"/>
      <c r="N289" s="155"/>
      <c r="O289" s="155"/>
      <c r="P289" s="155"/>
    </row>
    <row r="290" spans="1:16" ht="12.75">
      <c r="B290" s="238"/>
      <c r="H290" s="155"/>
      <c r="I290" s="155"/>
      <c r="J290" s="155"/>
      <c r="K290" s="155"/>
      <c r="L290" s="155"/>
      <c r="M290" s="155"/>
      <c r="N290" s="155"/>
      <c r="O290" s="155"/>
      <c r="P290" s="155"/>
    </row>
    <row r="291" spans="1:16" ht="12.75">
      <c r="B291" s="238"/>
      <c r="H291" s="155"/>
      <c r="I291" s="155"/>
      <c r="J291" s="155"/>
      <c r="K291" s="155"/>
      <c r="L291" s="155"/>
      <c r="M291" s="155"/>
      <c r="N291" s="155"/>
      <c r="O291" s="155"/>
      <c r="P291" s="155"/>
    </row>
    <row r="292" spans="1:16" ht="12.75">
      <c r="B292" s="238"/>
      <c r="H292" s="155"/>
      <c r="I292" s="155"/>
      <c r="J292" s="155"/>
      <c r="K292" s="155"/>
      <c r="L292" s="155"/>
      <c r="M292" s="155"/>
      <c r="N292" s="155"/>
      <c r="O292" s="155"/>
      <c r="P292" s="155"/>
    </row>
    <row r="293" spans="1:16" ht="12.75">
      <c r="B293" s="238"/>
      <c r="H293" s="155"/>
      <c r="I293" s="155"/>
      <c r="J293" s="155"/>
      <c r="K293" s="155"/>
      <c r="L293" s="155"/>
      <c r="M293" s="155"/>
      <c r="N293" s="155"/>
      <c r="O293" s="155"/>
      <c r="P293" s="155"/>
    </row>
    <row r="294" spans="1:16" ht="12.75">
      <c r="B294" s="238"/>
      <c r="H294" s="155"/>
      <c r="I294" s="155"/>
      <c r="J294" s="155"/>
      <c r="K294" s="155"/>
      <c r="L294" s="155"/>
      <c r="M294" s="155"/>
      <c r="N294" s="155"/>
      <c r="O294" s="155"/>
      <c r="P294" s="155"/>
    </row>
    <row r="295" spans="1:16" ht="12.75">
      <c r="B295" s="238"/>
      <c r="H295" s="155"/>
      <c r="I295" s="155"/>
      <c r="J295" s="155"/>
      <c r="K295" s="155"/>
      <c r="L295" s="155"/>
      <c r="M295" s="155"/>
      <c r="N295" s="155"/>
      <c r="O295" s="155"/>
      <c r="P295" s="155"/>
    </row>
    <row r="296" spans="1:16" ht="12.75">
      <c r="B296" s="238"/>
      <c r="H296" s="155"/>
      <c r="I296" s="155"/>
      <c r="J296" s="155"/>
      <c r="K296" s="155"/>
      <c r="L296" s="155"/>
      <c r="M296" s="155"/>
      <c r="N296" s="155"/>
      <c r="O296" s="155"/>
      <c r="P296" s="155"/>
    </row>
    <row r="297" spans="1:16" ht="12.75">
      <c r="B297" s="238"/>
      <c r="H297" s="155"/>
      <c r="I297" s="155"/>
      <c r="J297" s="155"/>
      <c r="K297" s="155"/>
      <c r="L297" s="155"/>
      <c r="M297" s="155"/>
      <c r="N297" s="155"/>
      <c r="O297" s="155"/>
      <c r="P297" s="155"/>
    </row>
    <row r="298" spans="1:16" ht="12.75">
      <c r="B298" s="238"/>
      <c r="H298" s="155"/>
      <c r="I298" s="155"/>
      <c r="J298" s="155"/>
      <c r="K298" s="155"/>
      <c r="L298" s="155"/>
      <c r="M298" s="155"/>
      <c r="N298" s="155"/>
      <c r="O298" s="155"/>
      <c r="P298" s="155"/>
    </row>
    <row r="299" spans="1:16" ht="12.75">
      <c r="B299" s="238"/>
      <c r="H299" s="155"/>
      <c r="I299" s="155"/>
      <c r="J299" s="155"/>
      <c r="K299" s="155"/>
      <c r="L299" s="155"/>
      <c r="M299" s="155"/>
      <c r="N299" s="155"/>
      <c r="O299" s="155"/>
      <c r="P299" s="155"/>
    </row>
    <row r="300" spans="1:16" ht="12.75">
      <c r="B300" s="238"/>
      <c r="H300" s="155"/>
      <c r="I300" s="155"/>
      <c r="J300" s="155"/>
      <c r="K300" s="155"/>
      <c r="L300" s="155"/>
      <c r="M300" s="155"/>
      <c r="N300" s="155"/>
      <c r="O300" s="155"/>
      <c r="P300" s="155"/>
    </row>
    <row r="301" spans="1:16" ht="12.75">
      <c r="B301" s="238"/>
      <c r="H301" s="155"/>
      <c r="I301" s="155"/>
      <c r="J301" s="155"/>
      <c r="K301" s="155"/>
      <c r="L301" s="155"/>
      <c r="M301" s="155"/>
      <c r="N301" s="155"/>
      <c r="O301" s="155"/>
      <c r="P301" s="155"/>
    </row>
    <row r="302" spans="1:16" ht="12.75">
      <c r="B302" s="238"/>
      <c r="H302" s="155"/>
      <c r="I302" s="155"/>
      <c r="J302" s="155"/>
      <c r="K302" s="155"/>
      <c r="L302" s="155"/>
      <c r="M302" s="155"/>
      <c r="N302" s="155"/>
      <c r="O302" s="155"/>
      <c r="P302" s="155"/>
    </row>
    <row r="303" spans="1:16" ht="12.75">
      <c r="B303" s="238"/>
      <c r="H303" s="155"/>
      <c r="I303" s="155"/>
      <c r="J303" s="155"/>
      <c r="K303" s="155"/>
      <c r="L303" s="155"/>
      <c r="M303" s="155"/>
      <c r="N303" s="155"/>
      <c r="O303" s="155"/>
      <c r="P303" s="155"/>
    </row>
    <row r="304" spans="1:16" ht="12.75">
      <c r="B304" s="238"/>
      <c r="H304" s="155"/>
      <c r="I304" s="155"/>
      <c r="J304" s="155"/>
      <c r="K304" s="155"/>
      <c r="L304" s="155"/>
      <c r="M304" s="155"/>
      <c r="N304" s="155"/>
      <c r="O304" s="155"/>
      <c r="P304" s="155"/>
    </row>
    <row r="305" spans="2:16" ht="12.75">
      <c r="B305" s="238"/>
      <c r="H305" s="155"/>
      <c r="I305" s="155"/>
      <c r="J305" s="155"/>
      <c r="K305" s="155"/>
      <c r="L305" s="155"/>
      <c r="M305" s="155"/>
      <c r="N305" s="155"/>
      <c r="O305" s="155"/>
      <c r="P305" s="155"/>
    </row>
    <row r="306" spans="2:16" ht="12.75">
      <c r="B306" s="238"/>
      <c r="H306" s="155"/>
      <c r="I306" s="155"/>
      <c r="J306" s="155"/>
      <c r="K306" s="155"/>
      <c r="L306" s="155"/>
      <c r="M306" s="155"/>
      <c r="N306" s="155"/>
      <c r="O306" s="155"/>
      <c r="P306" s="155"/>
    </row>
    <row r="307" spans="2:16" ht="12.75">
      <c r="B307" s="238"/>
      <c r="H307" s="155"/>
      <c r="I307" s="155"/>
      <c r="J307" s="155"/>
      <c r="K307" s="155"/>
      <c r="L307" s="155"/>
      <c r="M307" s="155"/>
      <c r="N307" s="155"/>
      <c r="O307" s="155"/>
      <c r="P307" s="155"/>
    </row>
    <row r="308" spans="2:16" ht="12.75">
      <c r="B308" s="238"/>
      <c r="H308" s="155"/>
      <c r="I308" s="155"/>
      <c r="J308" s="155"/>
      <c r="K308" s="155"/>
      <c r="L308" s="155"/>
      <c r="M308" s="155"/>
      <c r="N308" s="155"/>
      <c r="O308" s="155"/>
      <c r="P308" s="155"/>
    </row>
    <row r="309" spans="2:16" ht="12.75">
      <c r="B309" s="238"/>
      <c r="H309" s="155"/>
      <c r="I309" s="155"/>
      <c r="J309" s="155"/>
      <c r="K309" s="155"/>
      <c r="L309" s="155"/>
      <c r="M309" s="155"/>
      <c r="N309" s="155"/>
      <c r="O309" s="155"/>
      <c r="P309" s="155"/>
    </row>
    <row r="310" spans="2:16" ht="12.75">
      <c r="B310" s="238"/>
      <c r="H310" s="155"/>
      <c r="I310" s="155"/>
      <c r="J310" s="155"/>
      <c r="K310" s="155"/>
      <c r="L310" s="155"/>
      <c r="M310" s="155"/>
      <c r="N310" s="155"/>
      <c r="O310" s="155"/>
      <c r="P310" s="155"/>
    </row>
    <row r="311" spans="2:16" ht="12.75">
      <c r="B311" s="238"/>
      <c r="H311" s="155"/>
      <c r="I311" s="155"/>
      <c r="J311" s="155"/>
      <c r="K311" s="155"/>
      <c r="L311" s="155"/>
      <c r="M311" s="155"/>
      <c r="N311" s="155"/>
      <c r="O311" s="155"/>
      <c r="P311" s="155"/>
    </row>
    <row r="312" spans="2:16" ht="12.75">
      <c r="B312" s="238"/>
      <c r="H312" s="155"/>
      <c r="I312" s="155"/>
      <c r="J312" s="155"/>
      <c r="K312" s="155"/>
      <c r="L312" s="155"/>
      <c r="M312" s="155"/>
      <c r="N312" s="155"/>
      <c r="O312" s="155"/>
      <c r="P312" s="155"/>
    </row>
    <row r="313" spans="2:16" ht="12.75">
      <c r="B313" s="238"/>
      <c r="H313" s="155"/>
      <c r="I313" s="155"/>
      <c r="J313" s="155"/>
      <c r="K313" s="155"/>
      <c r="L313" s="155"/>
      <c r="M313" s="155"/>
      <c r="N313" s="155"/>
      <c r="O313" s="155"/>
      <c r="P313" s="155"/>
    </row>
    <row r="314" spans="2:16" ht="12.75">
      <c r="B314" s="238"/>
      <c r="H314" s="155"/>
      <c r="I314" s="155"/>
      <c r="J314" s="155"/>
      <c r="K314" s="155"/>
      <c r="L314" s="155"/>
      <c r="M314" s="155"/>
      <c r="N314" s="155"/>
      <c r="O314" s="155"/>
      <c r="P314" s="155"/>
    </row>
    <row r="315" spans="2:16" ht="12.75">
      <c r="B315" s="238"/>
      <c r="H315" s="155"/>
      <c r="I315" s="155"/>
      <c r="J315" s="155"/>
      <c r="K315" s="155"/>
      <c r="L315" s="155"/>
      <c r="M315" s="155"/>
      <c r="N315" s="155"/>
      <c r="O315" s="155"/>
      <c r="P315" s="155"/>
    </row>
    <row r="316" spans="2:16" ht="12.75">
      <c r="B316" s="238"/>
      <c r="H316" s="155"/>
      <c r="I316" s="155"/>
      <c r="J316" s="155"/>
      <c r="K316" s="155"/>
      <c r="L316" s="155"/>
      <c r="M316" s="155"/>
      <c r="N316" s="155"/>
      <c r="O316" s="155"/>
      <c r="P316" s="155"/>
    </row>
    <row r="317" spans="2:16" ht="12.75">
      <c r="B317" s="238"/>
      <c r="H317" s="155"/>
      <c r="I317" s="155"/>
      <c r="J317" s="155"/>
      <c r="K317" s="155"/>
      <c r="L317" s="155"/>
      <c r="M317" s="155"/>
      <c r="N317" s="155"/>
      <c r="O317" s="155"/>
      <c r="P317" s="155"/>
    </row>
    <row r="318" spans="2:16" ht="12.75">
      <c r="B318" s="238"/>
      <c r="H318" s="155"/>
      <c r="I318" s="155"/>
      <c r="J318" s="155"/>
      <c r="K318" s="155"/>
      <c r="L318" s="155"/>
      <c r="M318" s="155"/>
      <c r="N318" s="155"/>
      <c r="O318" s="155"/>
      <c r="P318" s="155"/>
    </row>
    <row r="319" spans="2:16" ht="12.75">
      <c r="B319" s="238"/>
      <c r="H319" s="155"/>
      <c r="I319" s="155"/>
      <c r="J319" s="155"/>
      <c r="K319" s="155"/>
      <c r="L319" s="155"/>
      <c r="M319" s="155"/>
      <c r="N319" s="155"/>
      <c r="O319" s="155"/>
      <c r="P319" s="155"/>
    </row>
    <row r="320" spans="2:16" ht="12.75">
      <c r="B320" s="238"/>
      <c r="H320" s="155"/>
      <c r="I320" s="155"/>
      <c r="J320" s="155"/>
      <c r="K320" s="155"/>
      <c r="L320" s="155"/>
      <c r="M320" s="155"/>
      <c r="N320" s="155"/>
      <c r="O320" s="155"/>
      <c r="P320" s="155"/>
    </row>
    <row r="321" spans="2:16" ht="12.75">
      <c r="B321" s="238"/>
      <c r="H321" s="155"/>
      <c r="I321" s="155"/>
      <c r="J321" s="155"/>
      <c r="K321" s="155"/>
      <c r="L321" s="155"/>
      <c r="M321" s="155"/>
      <c r="N321" s="155"/>
      <c r="O321" s="155"/>
      <c r="P321" s="155"/>
    </row>
    <row r="322" spans="2:16" ht="12.75">
      <c r="B322" s="238"/>
      <c r="H322" s="155"/>
      <c r="I322" s="155"/>
      <c r="J322" s="155"/>
      <c r="K322" s="155"/>
      <c r="L322" s="155"/>
      <c r="M322" s="155"/>
      <c r="N322" s="155"/>
      <c r="O322" s="155"/>
      <c r="P322" s="155"/>
    </row>
    <row r="323" spans="2:16" ht="12.75">
      <c r="B323" s="238"/>
      <c r="H323" s="155"/>
      <c r="I323" s="155"/>
      <c r="J323" s="155"/>
      <c r="K323" s="155"/>
      <c r="L323" s="155"/>
      <c r="M323" s="155"/>
      <c r="N323" s="155"/>
      <c r="O323" s="155"/>
      <c r="P323" s="155"/>
    </row>
    <row r="324" spans="2:16" ht="12.75">
      <c r="B324" s="238"/>
      <c r="H324" s="155"/>
      <c r="I324" s="155"/>
      <c r="J324" s="155"/>
      <c r="K324" s="155"/>
      <c r="L324" s="155"/>
      <c r="M324" s="155"/>
      <c r="N324" s="155"/>
      <c r="O324" s="155"/>
      <c r="P324" s="155"/>
    </row>
    <row r="325" spans="2:16" ht="12.75">
      <c r="B325" s="238"/>
      <c r="H325" s="155"/>
      <c r="I325" s="155"/>
      <c r="J325" s="155"/>
      <c r="K325" s="155"/>
      <c r="L325" s="155"/>
      <c r="M325" s="155"/>
      <c r="N325" s="155"/>
      <c r="O325" s="155"/>
      <c r="P325" s="155"/>
    </row>
    <row r="326" spans="2:16" ht="12.75">
      <c r="B326" s="238"/>
      <c r="H326" s="155"/>
      <c r="I326" s="239"/>
      <c r="L326" s="240"/>
      <c r="M326" s="241"/>
      <c r="N326" s="178"/>
      <c r="O326" s="242"/>
      <c r="P326" s="243"/>
    </row>
    <row r="327" spans="2:16" ht="12.75">
      <c r="B327" s="238"/>
      <c r="H327" s="155"/>
      <c r="I327" s="239"/>
      <c r="L327" s="240"/>
      <c r="M327" s="241"/>
      <c r="N327" s="178"/>
      <c r="O327" s="242"/>
      <c r="P327" s="243"/>
    </row>
    <row r="328" spans="2:16" ht="12.75">
      <c r="B328" s="238"/>
      <c r="H328" s="155"/>
      <c r="I328" s="239"/>
      <c r="L328" s="240"/>
      <c r="M328" s="241"/>
      <c r="N328" s="178"/>
      <c r="O328" s="242"/>
      <c r="P328" s="243"/>
    </row>
    <row r="329" spans="2:16" ht="12.75">
      <c r="B329" s="238"/>
      <c r="H329" s="155"/>
      <c r="I329" s="239"/>
      <c r="L329" s="240"/>
      <c r="M329" s="241"/>
      <c r="N329" s="178"/>
      <c r="O329" s="242"/>
      <c r="P329" s="243"/>
    </row>
    <row r="330" spans="2:16" ht="12.75">
      <c r="B330" s="238"/>
      <c r="H330" s="155"/>
      <c r="I330" s="239"/>
      <c r="L330" s="240"/>
      <c r="M330" s="241"/>
      <c r="N330" s="178"/>
      <c r="O330" s="242"/>
      <c r="P330" s="243"/>
    </row>
    <row r="331" spans="2:16" ht="12.75">
      <c r="B331" s="238"/>
      <c r="H331" s="155"/>
      <c r="I331" s="239"/>
      <c r="L331" s="240"/>
      <c r="M331" s="241"/>
      <c r="N331" s="178"/>
      <c r="O331" s="242"/>
      <c r="P331" s="243"/>
    </row>
    <row r="332" spans="2:16" ht="12.75">
      <c r="B332" s="238"/>
      <c r="H332" s="155"/>
      <c r="I332" s="239"/>
      <c r="L332" s="240"/>
      <c r="M332" s="241"/>
      <c r="N332" s="178"/>
      <c r="O332" s="242"/>
      <c r="P332" s="243"/>
    </row>
    <row r="333" spans="2:16" ht="12.75">
      <c r="B333" s="238"/>
      <c r="H333" s="155"/>
      <c r="I333" s="239"/>
      <c r="L333" s="240"/>
      <c r="M333" s="241"/>
      <c r="N333" s="178"/>
      <c r="O333" s="242"/>
      <c r="P333" s="243"/>
    </row>
    <row r="334" spans="2:16" ht="12.75">
      <c r="B334" s="238"/>
      <c r="H334" s="155"/>
      <c r="I334" s="239"/>
      <c r="L334" s="240"/>
      <c r="M334" s="241"/>
      <c r="N334" s="178"/>
      <c r="O334" s="242"/>
      <c r="P334" s="243"/>
    </row>
    <row r="335" spans="2:16" ht="12.75">
      <c r="B335" s="238"/>
      <c r="H335" s="155"/>
      <c r="I335" s="239"/>
      <c r="L335" s="240"/>
      <c r="M335" s="241"/>
      <c r="N335" s="178"/>
      <c r="O335" s="242"/>
      <c r="P335" s="243"/>
    </row>
    <row r="336" spans="2:16" ht="12.75">
      <c r="B336" s="238"/>
      <c r="H336" s="155"/>
      <c r="I336" s="239"/>
      <c r="L336" s="240"/>
      <c r="M336" s="241"/>
      <c r="N336" s="178"/>
      <c r="O336" s="242"/>
      <c r="P336" s="243"/>
    </row>
    <row r="337" spans="2:16" ht="12.75">
      <c r="B337" s="238"/>
      <c r="H337" s="155"/>
      <c r="I337" s="239"/>
      <c r="L337" s="240"/>
      <c r="M337" s="241"/>
      <c r="N337" s="178"/>
      <c r="O337" s="242"/>
      <c r="P337" s="243"/>
    </row>
    <row r="338" spans="2:16" ht="12.75">
      <c r="B338" s="238"/>
      <c r="H338" s="155"/>
      <c r="I338" s="239"/>
      <c r="L338" s="240"/>
      <c r="M338" s="241"/>
      <c r="N338" s="178"/>
      <c r="O338" s="242"/>
      <c r="P338" s="243"/>
    </row>
    <row r="339" spans="2:16" ht="12.75">
      <c r="B339" s="238"/>
      <c r="H339" s="155"/>
      <c r="I339" s="239"/>
      <c r="L339" s="240"/>
      <c r="M339" s="241"/>
      <c r="N339" s="178"/>
      <c r="O339" s="242"/>
      <c r="P339" s="243"/>
    </row>
    <row r="340" spans="2:16" ht="12.75">
      <c r="B340" s="238"/>
      <c r="H340" s="155"/>
      <c r="I340" s="239"/>
      <c r="L340" s="240"/>
      <c r="M340" s="241"/>
      <c r="N340" s="178"/>
      <c r="O340" s="242"/>
      <c r="P340" s="243"/>
    </row>
    <row r="341" spans="2:16" ht="12.75">
      <c r="B341" s="238"/>
      <c r="H341" s="155"/>
      <c r="I341" s="239"/>
      <c r="L341" s="240"/>
      <c r="M341" s="241"/>
      <c r="N341" s="178"/>
      <c r="O341" s="242"/>
      <c r="P341" s="243"/>
    </row>
    <row r="342" spans="2:16" ht="12.75">
      <c r="B342" s="238"/>
      <c r="H342" s="155"/>
      <c r="I342" s="239"/>
      <c r="L342" s="240"/>
      <c r="M342" s="241"/>
      <c r="N342" s="178"/>
      <c r="O342" s="242"/>
      <c r="P342" s="243"/>
    </row>
    <row r="343" spans="2:16" ht="12.75">
      <c r="B343" s="238"/>
      <c r="H343" s="155"/>
      <c r="I343" s="239"/>
      <c r="L343" s="240"/>
      <c r="M343" s="241"/>
      <c r="N343" s="178"/>
      <c r="O343" s="242"/>
      <c r="P343" s="243"/>
    </row>
    <row r="344" spans="2:16" ht="12.75">
      <c r="B344" s="238"/>
      <c r="H344" s="155"/>
      <c r="I344" s="239"/>
      <c r="L344" s="240"/>
      <c r="M344" s="241"/>
      <c r="N344" s="178"/>
      <c r="O344" s="242"/>
      <c r="P344" s="243"/>
    </row>
    <row r="345" spans="2:16" ht="12.75">
      <c r="B345" s="238"/>
      <c r="H345" s="155"/>
      <c r="I345" s="239"/>
      <c r="L345" s="240"/>
      <c r="M345" s="241"/>
      <c r="N345" s="178"/>
      <c r="O345" s="242"/>
      <c r="P345" s="243"/>
    </row>
    <row r="346" spans="2:16" ht="12.75">
      <c r="B346" s="238"/>
      <c r="H346" s="155"/>
      <c r="I346" s="239"/>
      <c r="L346" s="240"/>
      <c r="M346" s="241"/>
      <c r="N346" s="178"/>
      <c r="O346" s="242"/>
      <c r="P346" s="243"/>
    </row>
    <row r="347" spans="2:16" ht="12.75">
      <c r="B347" s="238"/>
      <c r="H347" s="155"/>
      <c r="I347" s="239"/>
      <c r="L347" s="240"/>
      <c r="M347" s="241"/>
      <c r="N347" s="178"/>
      <c r="O347" s="242"/>
      <c r="P347" s="243"/>
    </row>
    <row r="348" spans="2:16" ht="12.75">
      <c r="B348" s="238"/>
      <c r="H348" s="155"/>
      <c r="I348" s="239"/>
      <c r="L348" s="240"/>
      <c r="M348" s="241"/>
      <c r="N348" s="178"/>
      <c r="O348" s="242"/>
      <c r="P348" s="243"/>
    </row>
    <row r="349" spans="2:16" ht="12.75">
      <c r="B349" s="238"/>
      <c r="H349" s="155"/>
      <c r="I349" s="239"/>
      <c r="L349" s="240"/>
      <c r="M349" s="241"/>
      <c r="N349" s="178"/>
      <c r="O349" s="242"/>
      <c r="P349" s="243"/>
    </row>
    <row r="350" spans="2:16" ht="12.75">
      <c r="B350" s="238"/>
      <c r="H350" s="155"/>
      <c r="I350" s="239"/>
      <c r="L350" s="240"/>
      <c r="M350" s="241"/>
      <c r="N350" s="178"/>
      <c r="O350" s="242"/>
      <c r="P350" s="243"/>
    </row>
    <row r="351" spans="2:16" ht="12.75">
      <c r="B351" s="238"/>
      <c r="H351" s="155"/>
      <c r="I351" s="239"/>
      <c r="L351" s="240"/>
      <c r="M351" s="241"/>
      <c r="N351" s="178"/>
      <c r="O351" s="242"/>
      <c r="P351" s="243"/>
    </row>
    <row r="352" spans="2:16" ht="12.75">
      <c r="B352" s="238"/>
      <c r="H352" s="155"/>
      <c r="I352" s="239"/>
      <c r="L352" s="240"/>
      <c r="M352" s="241"/>
      <c r="N352" s="178"/>
      <c r="O352" s="242"/>
      <c r="P352" s="243"/>
    </row>
    <row r="353" spans="2:16" ht="12.75">
      <c r="B353" s="238"/>
      <c r="H353" s="155"/>
      <c r="I353" s="239"/>
      <c r="L353" s="240"/>
      <c r="M353" s="241"/>
      <c r="N353" s="178"/>
      <c r="O353" s="242"/>
      <c r="P353" s="243"/>
    </row>
    <row r="354" spans="2:16" ht="12.75">
      <c r="B354" s="238"/>
      <c r="H354" s="155"/>
      <c r="I354" s="239"/>
      <c r="L354" s="240"/>
      <c r="M354" s="241"/>
      <c r="N354" s="178"/>
      <c r="O354" s="242"/>
      <c r="P354" s="243"/>
    </row>
    <row r="355" spans="2:16" ht="12.75">
      <c r="B355" s="238"/>
      <c r="H355" s="155"/>
      <c r="I355" s="239"/>
      <c r="L355" s="240"/>
      <c r="M355" s="241"/>
      <c r="N355" s="178"/>
      <c r="O355" s="242"/>
      <c r="P355" s="243"/>
    </row>
    <row r="356" spans="2:16" ht="12.75">
      <c r="B356" s="238"/>
      <c r="H356" s="155"/>
      <c r="I356" s="239"/>
      <c r="L356" s="240"/>
      <c r="M356" s="241"/>
      <c r="N356" s="178"/>
      <c r="O356" s="242"/>
      <c r="P356" s="243"/>
    </row>
    <row r="357" spans="2:16" ht="12.75">
      <c r="B357" s="238"/>
      <c r="H357" s="155"/>
      <c r="I357" s="239"/>
      <c r="L357" s="240"/>
      <c r="M357" s="241"/>
      <c r="N357" s="178"/>
      <c r="O357" s="242"/>
      <c r="P357" s="243"/>
    </row>
    <row r="358" spans="2:16" ht="12.75">
      <c r="B358" s="238"/>
      <c r="H358" s="155"/>
      <c r="I358" s="239"/>
      <c r="L358" s="240"/>
      <c r="M358" s="241"/>
      <c r="N358" s="178"/>
      <c r="O358" s="242"/>
      <c r="P358" s="243"/>
    </row>
    <row r="359" spans="2:16" ht="12.75">
      <c r="B359" s="238"/>
      <c r="H359" s="155"/>
      <c r="I359" s="239"/>
      <c r="L359" s="240"/>
      <c r="M359" s="241"/>
      <c r="N359" s="178"/>
      <c r="O359" s="242"/>
      <c r="P359" s="243"/>
    </row>
    <row r="360" spans="2:16" ht="12.75">
      <c r="B360" s="238"/>
      <c r="H360" s="155"/>
      <c r="I360" s="239"/>
      <c r="L360" s="240"/>
      <c r="M360" s="241"/>
      <c r="N360" s="178"/>
      <c r="O360" s="242"/>
      <c r="P360" s="243"/>
    </row>
    <row r="361" spans="2:16" ht="12.75">
      <c r="B361" s="238"/>
      <c r="H361" s="155"/>
      <c r="I361" s="239"/>
      <c r="L361" s="240"/>
      <c r="M361" s="241"/>
      <c r="N361" s="178"/>
      <c r="O361" s="242"/>
      <c r="P361" s="243"/>
    </row>
    <row r="362" spans="2:16" ht="12.75">
      <c r="B362" s="238"/>
      <c r="H362" s="155"/>
      <c r="I362" s="239"/>
      <c r="L362" s="240"/>
      <c r="M362" s="241"/>
      <c r="N362" s="178"/>
      <c r="O362" s="242"/>
      <c r="P362" s="243"/>
    </row>
    <row r="363" spans="2:16" ht="12.75">
      <c r="B363" s="238"/>
      <c r="H363" s="155"/>
      <c r="I363" s="239"/>
      <c r="L363" s="240"/>
      <c r="M363" s="241"/>
      <c r="N363" s="178"/>
      <c r="O363" s="242"/>
      <c r="P363" s="243"/>
    </row>
    <row r="364" spans="2:16" ht="12.75">
      <c r="B364" s="238"/>
      <c r="H364" s="155"/>
      <c r="I364" s="239"/>
      <c r="L364" s="240"/>
      <c r="M364" s="241"/>
      <c r="N364" s="178"/>
      <c r="O364" s="242"/>
      <c r="P364" s="243"/>
    </row>
    <row r="365" spans="2:16" ht="12.75">
      <c r="B365" s="238"/>
      <c r="H365" s="155"/>
      <c r="I365" s="239"/>
      <c r="L365" s="240"/>
      <c r="M365" s="241"/>
      <c r="N365" s="178"/>
      <c r="O365" s="242"/>
      <c r="P365" s="243"/>
    </row>
    <row r="366" spans="2:16" ht="12.75">
      <c r="B366" s="238"/>
      <c r="H366" s="155"/>
      <c r="I366" s="239"/>
      <c r="L366" s="240"/>
      <c r="M366" s="241"/>
      <c r="N366" s="178"/>
      <c r="O366" s="242"/>
      <c r="P366" s="243"/>
    </row>
    <row r="367" spans="2:16" ht="12.75">
      <c r="B367" s="238"/>
      <c r="H367" s="155"/>
      <c r="I367" s="239"/>
      <c r="L367" s="240"/>
      <c r="M367" s="241"/>
      <c r="N367" s="178"/>
      <c r="O367" s="242"/>
      <c r="P367" s="243"/>
    </row>
    <row r="368" spans="2:16" ht="12.75">
      <c r="B368" s="238"/>
      <c r="H368" s="155"/>
      <c r="I368" s="239"/>
      <c r="L368" s="240"/>
      <c r="M368" s="241"/>
      <c r="N368" s="178"/>
      <c r="O368" s="242"/>
      <c r="P368" s="243"/>
    </row>
    <row r="369" spans="1:26" ht="12.75">
      <c r="B369" s="238"/>
      <c r="H369" s="155"/>
      <c r="I369" s="239"/>
      <c r="L369" s="240"/>
      <c r="M369" s="241"/>
      <c r="N369" s="178"/>
      <c r="O369" s="242"/>
      <c r="P369" s="243"/>
    </row>
    <row r="370" spans="1:26" ht="12.75">
      <c r="B370" s="238"/>
      <c r="H370" s="155"/>
      <c r="I370" s="239"/>
      <c r="L370" s="240"/>
      <c r="M370" s="241"/>
      <c r="N370" s="178"/>
      <c r="O370" s="242"/>
      <c r="P370" s="243"/>
    </row>
    <row r="371" spans="1:26" ht="12.75">
      <c r="B371" s="238"/>
      <c r="H371" s="155"/>
      <c r="I371" s="239"/>
      <c r="L371" s="240"/>
      <c r="M371" s="241"/>
      <c r="N371" s="178"/>
      <c r="O371" s="242"/>
      <c r="P371" s="243"/>
    </row>
    <row r="372" spans="1:26" ht="12.75">
      <c r="B372" s="238"/>
      <c r="H372" s="155"/>
      <c r="I372" s="239"/>
      <c r="L372" s="240"/>
      <c r="M372" s="241"/>
      <c r="N372" s="178"/>
      <c r="O372" s="242"/>
      <c r="P372" s="243"/>
    </row>
    <row r="373" spans="1:26" ht="12.75">
      <c r="B373" s="238"/>
      <c r="H373" s="155"/>
      <c r="I373" s="239"/>
      <c r="L373" s="240"/>
      <c r="M373" s="241"/>
      <c r="N373" s="178"/>
      <c r="O373" s="242"/>
      <c r="P373" s="243"/>
    </row>
    <row r="374" spans="1:26" ht="12.75">
      <c r="B374" s="238"/>
      <c r="H374" s="155"/>
      <c r="I374" s="239"/>
      <c r="L374" s="240"/>
      <c r="M374" s="241"/>
      <c r="N374" s="178"/>
      <c r="O374" s="242"/>
      <c r="P374" s="243"/>
    </row>
    <row r="375" spans="1:26" ht="12.75">
      <c r="B375" s="238"/>
      <c r="H375" s="155"/>
      <c r="I375" s="239"/>
      <c r="L375" s="240"/>
      <c r="M375" s="241"/>
      <c r="N375" s="178"/>
      <c r="O375" s="242"/>
      <c r="P375" s="243"/>
    </row>
    <row r="376" spans="1:26" ht="12.75">
      <c r="B376" s="238"/>
      <c r="H376" s="155"/>
      <c r="I376" s="239"/>
      <c r="L376" s="240"/>
      <c r="M376" s="241"/>
      <c r="N376" s="178"/>
      <c r="O376" s="242"/>
      <c r="P376" s="243"/>
    </row>
    <row r="377" spans="1:26" ht="12.75">
      <c r="B377" s="238"/>
      <c r="H377" s="155"/>
      <c r="I377" s="239"/>
      <c r="L377" s="240"/>
      <c r="M377" s="241"/>
      <c r="N377" s="178"/>
      <c r="O377" s="242"/>
      <c r="P377" s="243"/>
    </row>
    <row r="378" spans="1:26" ht="12.75">
      <c r="B378" s="238"/>
      <c r="H378" s="155"/>
      <c r="I378" s="239"/>
      <c r="L378" s="240"/>
      <c r="M378" s="241"/>
      <c r="N378" s="178"/>
      <c r="O378" s="242"/>
      <c r="P378" s="243"/>
    </row>
    <row r="379" spans="1:26" ht="12.75">
      <c r="B379" s="238"/>
      <c r="H379" s="155"/>
      <c r="I379" s="239"/>
      <c r="L379" s="240"/>
      <c r="M379" s="241"/>
      <c r="N379" s="178"/>
      <c r="O379" s="242"/>
      <c r="P379" s="243"/>
    </row>
    <row r="380" spans="1:26" ht="12.75">
      <c r="A380" s="244"/>
      <c r="B380" s="245"/>
      <c r="C380" s="244"/>
      <c r="D380" s="244"/>
      <c r="E380" s="244"/>
      <c r="F380" s="244"/>
      <c r="G380" s="244"/>
      <c r="H380" s="244"/>
      <c r="I380" s="244"/>
      <c r="J380" s="244"/>
      <c r="K380" s="244"/>
      <c r="L380" s="244"/>
      <c r="M380" s="244"/>
      <c r="N380" s="244"/>
      <c r="O380" s="244"/>
      <c r="P380" s="244"/>
      <c r="Q380" s="155"/>
      <c r="R380" s="155"/>
      <c r="S380" s="155"/>
      <c r="T380" s="155"/>
      <c r="U380" s="155"/>
      <c r="V380" s="155"/>
      <c r="W380" s="155"/>
      <c r="X380" s="155"/>
      <c r="Y380" s="155"/>
      <c r="Z380" s="155"/>
    </row>
    <row r="381" spans="1:26" ht="12.75">
      <c r="B381" s="238"/>
      <c r="H381" s="155"/>
      <c r="I381" s="239"/>
      <c r="L381" s="240"/>
      <c r="M381" s="241"/>
      <c r="N381" s="178"/>
      <c r="O381" s="242"/>
      <c r="P381" s="243"/>
    </row>
    <row r="382" spans="1:26" ht="12.75">
      <c r="B382" s="238"/>
      <c r="H382" s="155"/>
      <c r="I382" s="239"/>
      <c r="L382" s="240"/>
      <c r="M382" s="241"/>
      <c r="N382" s="178"/>
      <c r="O382" s="242"/>
      <c r="P382" s="243"/>
    </row>
    <row r="383" spans="1:26" ht="12.75">
      <c r="B383" s="238"/>
      <c r="H383" s="155"/>
      <c r="I383" s="239"/>
      <c r="L383" s="240"/>
      <c r="M383" s="241"/>
      <c r="N383" s="178"/>
      <c r="O383" s="242"/>
      <c r="P383" s="243"/>
    </row>
    <row r="384" spans="1:26" ht="12.75">
      <c r="B384" s="238"/>
      <c r="H384" s="155"/>
      <c r="I384" s="239"/>
      <c r="L384" s="240"/>
      <c r="M384" s="241"/>
      <c r="N384" s="178"/>
      <c r="O384" s="242"/>
      <c r="P384" s="243"/>
    </row>
    <row r="385" spans="2:16" ht="12.75">
      <c r="B385" s="238"/>
      <c r="H385" s="155"/>
      <c r="I385" s="239"/>
      <c r="L385" s="240"/>
      <c r="M385" s="241"/>
      <c r="N385" s="178"/>
      <c r="O385" s="242"/>
      <c r="P385" s="243"/>
    </row>
    <row r="386" spans="2:16" ht="12.75">
      <c r="B386" s="238"/>
      <c r="H386" s="155"/>
      <c r="I386" s="239"/>
      <c r="L386" s="240"/>
      <c r="M386" s="241"/>
      <c r="N386" s="178"/>
      <c r="O386" s="242"/>
      <c r="P386" s="243"/>
    </row>
    <row r="387" spans="2:16" ht="12.75">
      <c r="B387" s="238"/>
      <c r="H387" s="155"/>
      <c r="I387" s="239"/>
      <c r="L387" s="240"/>
      <c r="M387" s="241"/>
      <c r="N387" s="178"/>
      <c r="O387" s="242"/>
      <c r="P387" s="243"/>
    </row>
    <row r="388" spans="2:16" ht="12.75">
      <c r="B388" s="238"/>
      <c r="H388" s="155"/>
      <c r="I388" s="239"/>
      <c r="L388" s="240"/>
      <c r="M388" s="241"/>
      <c r="N388" s="178"/>
      <c r="O388" s="242"/>
      <c r="P388" s="243"/>
    </row>
    <row r="389" spans="2:16" ht="12.75">
      <c r="B389" s="238"/>
      <c r="H389" s="155"/>
      <c r="I389" s="239"/>
      <c r="L389" s="240"/>
      <c r="M389" s="241"/>
      <c r="N389" s="178"/>
      <c r="O389" s="242"/>
      <c r="P389" s="243"/>
    </row>
    <row r="390" spans="2:16" ht="12.75">
      <c r="B390" s="238"/>
      <c r="H390" s="155"/>
      <c r="I390" s="239"/>
      <c r="L390" s="240"/>
      <c r="M390" s="241"/>
      <c r="N390" s="178"/>
      <c r="O390" s="242"/>
      <c r="P390" s="243"/>
    </row>
    <row r="391" spans="2:16" ht="12.75">
      <c r="B391" s="238"/>
      <c r="H391" s="155"/>
      <c r="I391" s="239"/>
      <c r="L391" s="240"/>
      <c r="M391" s="241"/>
      <c r="N391" s="178"/>
      <c r="O391" s="242"/>
      <c r="P391" s="243"/>
    </row>
    <row r="392" spans="2:16" ht="12.75">
      <c r="B392" s="238"/>
      <c r="H392" s="155"/>
      <c r="I392" s="239"/>
      <c r="L392" s="240"/>
      <c r="M392" s="241"/>
      <c r="N392" s="178"/>
      <c r="O392" s="242"/>
      <c r="P392" s="243"/>
    </row>
    <row r="393" spans="2:16" ht="12.75">
      <c r="B393" s="238"/>
      <c r="H393" s="155"/>
      <c r="I393" s="239"/>
      <c r="L393" s="240"/>
      <c r="M393" s="241"/>
      <c r="N393" s="178"/>
      <c r="O393" s="242"/>
      <c r="P393" s="243"/>
    </row>
    <row r="394" spans="2:16" ht="12.75">
      <c r="B394" s="238"/>
      <c r="H394" s="155"/>
      <c r="I394" s="239"/>
      <c r="L394" s="240"/>
      <c r="M394" s="241"/>
      <c r="N394" s="178"/>
      <c r="O394" s="242"/>
      <c r="P394" s="243"/>
    </row>
    <row r="395" spans="2:16" ht="12.75">
      <c r="B395" s="238"/>
      <c r="H395" s="155"/>
      <c r="I395" s="239"/>
      <c r="L395" s="240"/>
      <c r="M395" s="241"/>
      <c r="N395" s="178"/>
      <c r="O395" s="242"/>
      <c r="P395" s="243"/>
    </row>
    <row r="396" spans="2:16" ht="12.75">
      <c r="B396" s="238"/>
      <c r="H396" s="155"/>
      <c r="I396" s="239"/>
      <c r="L396" s="240"/>
      <c r="M396" s="241"/>
      <c r="N396" s="178"/>
      <c r="O396" s="242"/>
      <c r="P396" s="243"/>
    </row>
    <row r="397" spans="2:16" ht="12.75">
      <c r="B397" s="238"/>
      <c r="H397" s="155"/>
      <c r="I397" s="239"/>
      <c r="L397" s="240"/>
      <c r="M397" s="241"/>
      <c r="N397" s="178"/>
      <c r="O397" s="242"/>
      <c r="P397" s="243"/>
    </row>
    <row r="398" spans="2:16" ht="12.75">
      <c r="B398" s="238"/>
      <c r="H398" s="155"/>
      <c r="I398" s="239"/>
      <c r="L398" s="240"/>
      <c r="M398" s="241"/>
      <c r="N398" s="178"/>
      <c r="O398" s="242"/>
      <c r="P398" s="243"/>
    </row>
    <row r="399" spans="2:16" ht="12.75">
      <c r="B399" s="238"/>
      <c r="H399" s="155"/>
      <c r="I399" s="239"/>
      <c r="L399" s="240"/>
      <c r="M399" s="241"/>
      <c r="N399" s="178"/>
      <c r="O399" s="242"/>
      <c r="P399" s="243"/>
    </row>
    <row r="400" spans="2:16" ht="12.75">
      <c r="B400" s="238"/>
      <c r="H400" s="155"/>
      <c r="I400" s="239"/>
      <c r="L400" s="240"/>
      <c r="M400" s="241"/>
      <c r="N400" s="178"/>
      <c r="O400" s="242"/>
      <c r="P400" s="243"/>
    </row>
    <row r="401" spans="2:16" ht="12.75">
      <c r="B401" s="238"/>
      <c r="H401" s="155"/>
      <c r="I401" s="239"/>
      <c r="L401" s="240"/>
      <c r="M401" s="241"/>
      <c r="N401" s="178"/>
      <c r="O401" s="242"/>
      <c r="P401" s="243"/>
    </row>
    <row r="402" spans="2:16" ht="12.75">
      <c r="B402" s="238"/>
      <c r="H402" s="155"/>
      <c r="I402" s="239"/>
      <c r="L402" s="240"/>
      <c r="M402" s="241"/>
      <c r="N402" s="178"/>
      <c r="O402" s="242"/>
      <c r="P402" s="243"/>
    </row>
    <row r="403" spans="2:16" ht="12.75">
      <c r="B403" s="238"/>
      <c r="H403" s="155"/>
      <c r="I403" s="239"/>
      <c r="L403" s="240"/>
      <c r="M403" s="241"/>
      <c r="N403" s="178"/>
      <c r="O403" s="242"/>
      <c r="P403" s="243"/>
    </row>
    <row r="404" spans="2:16" ht="12.75">
      <c r="B404" s="238"/>
      <c r="H404" s="155"/>
      <c r="I404" s="239"/>
      <c r="L404" s="240"/>
      <c r="M404" s="241"/>
      <c r="N404" s="178"/>
      <c r="O404" s="242"/>
      <c r="P404" s="243"/>
    </row>
    <row r="405" spans="2:16" ht="12.75">
      <c r="B405" s="238"/>
      <c r="H405" s="155"/>
      <c r="I405" s="239"/>
      <c r="L405" s="240"/>
      <c r="M405" s="241"/>
      <c r="N405" s="178"/>
      <c r="O405" s="242"/>
      <c r="P405" s="243"/>
    </row>
    <row r="406" spans="2:16" ht="12.75">
      <c r="B406" s="238"/>
      <c r="H406" s="155"/>
      <c r="I406" s="239"/>
      <c r="L406" s="240"/>
      <c r="M406" s="241"/>
      <c r="N406" s="178"/>
      <c r="O406" s="242"/>
      <c r="P406" s="243"/>
    </row>
    <row r="407" spans="2:16" ht="12.75">
      <c r="B407" s="238"/>
      <c r="H407" s="155"/>
      <c r="I407" s="239"/>
      <c r="L407" s="240"/>
      <c r="M407" s="241"/>
      <c r="N407" s="178"/>
      <c r="O407" s="242"/>
      <c r="P407" s="243"/>
    </row>
    <row r="408" spans="2:16" ht="12.75">
      <c r="B408" s="238"/>
      <c r="H408" s="155"/>
      <c r="I408" s="239"/>
      <c r="L408" s="240"/>
      <c r="M408" s="241"/>
      <c r="N408" s="178"/>
      <c r="O408" s="242"/>
      <c r="P408" s="243"/>
    </row>
    <row r="409" spans="2:16" ht="12.75">
      <c r="B409" s="238"/>
      <c r="H409" s="155"/>
      <c r="I409" s="239"/>
      <c r="L409" s="240"/>
      <c r="M409" s="241"/>
      <c r="N409" s="178"/>
      <c r="O409" s="242"/>
      <c r="P409" s="243"/>
    </row>
    <row r="410" spans="2:16" ht="12.75">
      <c r="B410" s="238"/>
      <c r="H410" s="155"/>
      <c r="I410" s="239"/>
      <c r="L410" s="240"/>
      <c r="M410" s="241"/>
      <c r="N410" s="178"/>
      <c r="O410" s="242"/>
      <c r="P410" s="243"/>
    </row>
    <row r="411" spans="2:16" ht="12.75">
      <c r="B411" s="238"/>
      <c r="H411" s="155"/>
      <c r="I411" s="239"/>
      <c r="L411" s="240"/>
      <c r="M411" s="241"/>
      <c r="N411" s="178"/>
      <c r="O411" s="242"/>
      <c r="P411" s="243"/>
    </row>
    <row r="412" spans="2:16" ht="12.75">
      <c r="B412" s="238"/>
      <c r="H412" s="155"/>
      <c r="I412" s="239"/>
      <c r="L412" s="240"/>
      <c r="M412" s="241"/>
      <c r="N412" s="178"/>
      <c r="O412" s="242"/>
      <c r="P412" s="243"/>
    </row>
    <row r="413" spans="2:16" ht="12.75">
      <c r="B413" s="238"/>
      <c r="H413" s="155"/>
      <c r="I413" s="239"/>
      <c r="L413" s="240"/>
      <c r="M413" s="241"/>
      <c r="N413" s="178"/>
      <c r="O413" s="242"/>
      <c r="P413" s="243"/>
    </row>
    <row r="414" spans="2:16" ht="12.75">
      <c r="B414" s="238"/>
      <c r="H414" s="155"/>
      <c r="I414" s="239"/>
      <c r="L414" s="240"/>
      <c r="M414" s="241"/>
      <c r="N414" s="178"/>
      <c r="O414" s="242"/>
      <c r="P414" s="243"/>
    </row>
    <row r="415" spans="2:16" ht="12.75">
      <c r="B415" s="238"/>
      <c r="H415" s="155"/>
      <c r="I415" s="239"/>
      <c r="L415" s="240"/>
      <c r="M415" s="241"/>
      <c r="N415" s="178"/>
      <c r="O415" s="242"/>
      <c r="P415" s="243"/>
    </row>
    <row r="416" spans="2:16" ht="12.75">
      <c r="B416" s="238"/>
      <c r="H416" s="155"/>
      <c r="I416" s="239"/>
      <c r="L416" s="240"/>
      <c r="M416" s="241"/>
      <c r="N416" s="178"/>
      <c r="O416" s="242"/>
      <c r="P416" s="243"/>
    </row>
    <row r="417" spans="2:16" ht="12.75">
      <c r="B417" s="238"/>
      <c r="H417" s="155"/>
      <c r="I417" s="239"/>
      <c r="L417" s="240"/>
      <c r="M417" s="241"/>
      <c r="N417" s="178"/>
      <c r="O417" s="242"/>
      <c r="P417" s="243"/>
    </row>
    <row r="418" spans="2:16" ht="12.75">
      <c r="B418" s="238"/>
      <c r="H418" s="155"/>
      <c r="I418" s="239"/>
      <c r="L418" s="240"/>
      <c r="M418" s="241"/>
      <c r="N418" s="178"/>
      <c r="O418" s="242"/>
      <c r="P418" s="243"/>
    </row>
    <row r="419" spans="2:16" ht="12.75">
      <c r="B419" s="238"/>
      <c r="H419" s="155"/>
      <c r="I419" s="239"/>
      <c r="L419" s="240"/>
      <c r="M419" s="241"/>
      <c r="N419" s="178"/>
      <c r="O419" s="242"/>
      <c r="P419" s="243"/>
    </row>
    <row r="420" spans="2:16" ht="12.75">
      <c r="B420" s="238"/>
      <c r="H420" s="155"/>
      <c r="I420" s="239"/>
      <c r="L420" s="240"/>
      <c r="M420" s="241"/>
      <c r="N420" s="178"/>
      <c r="O420" s="242"/>
      <c r="P420" s="243"/>
    </row>
    <row r="421" spans="2:16" ht="12.75">
      <c r="B421" s="238"/>
      <c r="H421" s="155"/>
      <c r="I421" s="239"/>
      <c r="L421" s="240"/>
      <c r="M421" s="241"/>
      <c r="N421" s="178"/>
      <c r="O421" s="242"/>
      <c r="P421" s="243"/>
    </row>
    <row r="422" spans="2:16" ht="12.75">
      <c r="B422" s="238"/>
      <c r="H422" s="155"/>
      <c r="I422" s="239"/>
      <c r="L422" s="240"/>
      <c r="M422" s="241"/>
      <c r="N422" s="178"/>
      <c r="O422" s="242"/>
      <c r="P422" s="243"/>
    </row>
    <row r="423" spans="2:16" ht="12.75">
      <c r="B423" s="238"/>
      <c r="H423" s="155"/>
      <c r="I423" s="239"/>
      <c r="L423" s="240"/>
      <c r="M423" s="241"/>
      <c r="N423" s="178"/>
      <c r="O423" s="242"/>
      <c r="P423" s="243"/>
    </row>
    <row r="424" spans="2:16" ht="12.75">
      <c r="B424" s="238"/>
      <c r="H424" s="155"/>
      <c r="I424" s="239"/>
      <c r="L424" s="240"/>
      <c r="M424" s="241"/>
      <c r="N424" s="178"/>
      <c r="O424" s="242"/>
      <c r="P424" s="243"/>
    </row>
    <row r="425" spans="2:16" ht="12.75">
      <c r="B425" s="238"/>
      <c r="H425" s="155"/>
      <c r="I425" s="239"/>
      <c r="L425" s="240"/>
      <c r="M425" s="241"/>
      <c r="N425" s="178"/>
      <c r="O425" s="242"/>
      <c r="P425" s="243"/>
    </row>
    <row r="426" spans="2:16" ht="12.75">
      <c r="B426" s="238"/>
      <c r="H426" s="155"/>
      <c r="I426" s="239"/>
      <c r="L426" s="240"/>
      <c r="M426" s="241"/>
      <c r="N426" s="178"/>
      <c r="O426" s="242"/>
      <c r="P426" s="243"/>
    </row>
    <row r="427" spans="2:16" ht="12.75">
      <c r="B427" s="238"/>
      <c r="H427" s="155"/>
      <c r="I427" s="239"/>
      <c r="L427" s="240"/>
      <c r="M427" s="241"/>
      <c r="N427" s="178"/>
      <c r="O427" s="242"/>
      <c r="P427" s="243"/>
    </row>
    <row r="428" spans="2:16" ht="12.75">
      <c r="B428" s="238"/>
      <c r="H428" s="155"/>
      <c r="I428" s="239"/>
      <c r="L428" s="240"/>
      <c r="M428" s="241"/>
      <c r="N428" s="178"/>
      <c r="O428" s="242"/>
      <c r="P428" s="243"/>
    </row>
    <row r="429" spans="2:16" ht="12.75">
      <c r="B429" s="238"/>
      <c r="H429" s="155"/>
      <c r="I429" s="239"/>
      <c r="L429" s="240"/>
      <c r="M429" s="241"/>
      <c r="N429" s="178"/>
      <c r="O429" s="242"/>
      <c r="P429" s="243"/>
    </row>
    <row r="430" spans="2:16" ht="12.75">
      <c r="B430" s="238"/>
      <c r="H430" s="155"/>
      <c r="I430" s="239"/>
      <c r="L430" s="240"/>
      <c r="M430" s="241"/>
      <c r="N430" s="178"/>
      <c r="O430" s="242"/>
      <c r="P430" s="243"/>
    </row>
    <row r="431" spans="2:16" ht="12.75">
      <c r="B431" s="238"/>
      <c r="H431" s="155"/>
      <c r="I431" s="239"/>
      <c r="L431" s="240"/>
      <c r="M431" s="241"/>
      <c r="N431" s="178"/>
      <c r="O431" s="242"/>
      <c r="P431" s="243"/>
    </row>
    <row r="432" spans="2:16" ht="12.75">
      <c r="B432" s="238"/>
      <c r="H432" s="155"/>
      <c r="I432" s="239"/>
      <c r="L432" s="240"/>
      <c r="M432" s="241"/>
      <c r="N432" s="178"/>
      <c r="O432" s="242"/>
      <c r="P432" s="243"/>
    </row>
    <row r="433" spans="2:16" ht="12.75">
      <c r="B433" s="238"/>
      <c r="H433" s="155"/>
      <c r="I433" s="239"/>
      <c r="L433" s="240"/>
      <c r="M433" s="241"/>
      <c r="N433" s="178"/>
      <c r="O433" s="242"/>
      <c r="P433" s="243"/>
    </row>
    <row r="434" spans="2:16" ht="12.75">
      <c r="B434" s="238"/>
      <c r="H434" s="155"/>
      <c r="I434" s="239"/>
      <c r="L434" s="240"/>
      <c r="M434" s="241"/>
      <c r="N434" s="178"/>
      <c r="O434" s="242"/>
      <c r="P434" s="243"/>
    </row>
    <row r="435" spans="2:16" ht="12.75">
      <c r="B435" s="238"/>
      <c r="H435" s="155"/>
      <c r="I435" s="239"/>
      <c r="L435" s="240"/>
      <c r="M435" s="241"/>
      <c r="N435" s="178"/>
      <c r="O435" s="242"/>
      <c r="P435" s="243"/>
    </row>
    <row r="436" spans="2:16" ht="12.75">
      <c r="B436" s="238"/>
      <c r="H436" s="155"/>
      <c r="I436" s="239"/>
      <c r="L436" s="240"/>
      <c r="M436" s="241"/>
      <c r="N436" s="178"/>
      <c r="O436" s="242"/>
      <c r="P436" s="243"/>
    </row>
    <row r="437" spans="2:16" ht="12.75">
      <c r="B437" s="238"/>
      <c r="H437" s="155"/>
      <c r="I437" s="239"/>
      <c r="L437" s="240"/>
      <c r="M437" s="241"/>
      <c r="N437" s="178"/>
      <c r="O437" s="242"/>
      <c r="P437" s="243"/>
    </row>
    <row r="438" spans="2:16" ht="12.75">
      <c r="B438" s="238"/>
      <c r="H438" s="155"/>
      <c r="I438" s="239"/>
      <c r="L438" s="240"/>
      <c r="M438" s="241"/>
      <c r="N438" s="178"/>
      <c r="O438" s="242"/>
      <c r="P438" s="243"/>
    </row>
    <row r="439" spans="2:16" ht="12.75">
      <c r="B439" s="238"/>
      <c r="H439" s="155"/>
      <c r="I439" s="239"/>
      <c r="L439" s="240"/>
      <c r="M439" s="241"/>
      <c r="N439" s="178"/>
      <c r="O439" s="242"/>
      <c r="P439" s="243"/>
    </row>
    <row r="440" spans="2:16" ht="12.75">
      <c r="B440" s="238"/>
      <c r="H440" s="155"/>
      <c r="I440" s="239"/>
      <c r="L440" s="240"/>
      <c r="M440" s="241"/>
      <c r="N440" s="178"/>
      <c r="O440" s="242"/>
      <c r="P440" s="243"/>
    </row>
    <row r="441" spans="2:16" ht="12.75">
      <c r="B441" s="238"/>
      <c r="H441" s="155"/>
      <c r="I441" s="239"/>
      <c r="L441" s="240"/>
      <c r="M441" s="241"/>
      <c r="N441" s="178"/>
      <c r="O441" s="242"/>
      <c r="P441" s="243"/>
    </row>
    <row r="442" spans="2:16" ht="12.75">
      <c r="B442" s="238"/>
      <c r="H442" s="155"/>
      <c r="I442" s="239"/>
      <c r="L442" s="240"/>
      <c r="M442" s="241"/>
      <c r="N442" s="178"/>
      <c r="O442" s="242"/>
      <c r="P442" s="243"/>
    </row>
    <row r="443" spans="2:16" ht="12.75">
      <c r="B443" s="238"/>
      <c r="H443" s="155"/>
      <c r="I443" s="239"/>
      <c r="L443" s="240"/>
      <c r="M443" s="241"/>
      <c r="N443" s="178"/>
      <c r="O443" s="242"/>
      <c r="P443" s="243"/>
    </row>
    <row r="444" spans="2:16" ht="12.75">
      <c r="B444" s="238"/>
      <c r="H444" s="155"/>
      <c r="I444" s="239"/>
      <c r="L444" s="240"/>
      <c r="M444" s="241"/>
      <c r="N444" s="178"/>
      <c r="O444" s="242"/>
      <c r="P444" s="243"/>
    </row>
    <row r="445" spans="2:16" ht="12.75">
      <c r="B445" s="238"/>
      <c r="H445" s="155"/>
      <c r="I445" s="239"/>
      <c r="L445" s="240"/>
      <c r="M445" s="241"/>
      <c r="N445" s="178"/>
      <c r="O445" s="242"/>
      <c r="P445" s="243"/>
    </row>
    <row r="446" spans="2:16" ht="12.75">
      <c r="B446" s="238"/>
      <c r="H446" s="155"/>
      <c r="I446" s="239"/>
      <c r="L446" s="240"/>
      <c r="M446" s="241"/>
      <c r="N446" s="178"/>
      <c r="O446" s="242"/>
      <c r="P446" s="243"/>
    </row>
    <row r="447" spans="2:16" ht="12.75">
      <c r="B447" s="238"/>
      <c r="H447" s="155"/>
      <c r="I447" s="239"/>
      <c r="L447" s="240"/>
      <c r="M447" s="241"/>
      <c r="N447" s="178"/>
      <c r="O447" s="242"/>
      <c r="P447" s="243"/>
    </row>
    <row r="448" spans="2:16" ht="12.75">
      <c r="B448" s="238"/>
      <c r="H448" s="155"/>
      <c r="I448" s="239"/>
      <c r="L448" s="240"/>
      <c r="M448" s="241"/>
      <c r="N448" s="178"/>
      <c r="O448" s="242"/>
      <c r="P448" s="243"/>
    </row>
    <row r="449" spans="2:16" ht="12.75">
      <c r="B449" s="238"/>
      <c r="H449" s="155"/>
      <c r="I449" s="239"/>
      <c r="L449" s="240"/>
      <c r="M449" s="241"/>
      <c r="N449" s="178"/>
      <c r="O449" s="242"/>
      <c r="P449" s="243"/>
    </row>
    <row r="450" spans="2:16" ht="12.75">
      <c r="B450" s="238"/>
      <c r="H450" s="155"/>
      <c r="I450" s="239"/>
      <c r="L450" s="240"/>
      <c r="M450" s="241"/>
      <c r="N450" s="178"/>
      <c r="O450" s="242"/>
      <c r="P450" s="243"/>
    </row>
    <row r="451" spans="2:16" ht="12.75">
      <c r="B451" s="238"/>
      <c r="H451" s="155"/>
      <c r="I451" s="239"/>
      <c r="L451" s="240"/>
      <c r="M451" s="241"/>
      <c r="N451" s="178"/>
      <c r="O451" s="242"/>
      <c r="P451" s="243"/>
    </row>
    <row r="452" spans="2:16" ht="12.75">
      <c r="B452" s="238"/>
      <c r="H452" s="155"/>
      <c r="I452" s="239"/>
      <c r="L452" s="240"/>
      <c r="M452" s="241"/>
      <c r="N452" s="178"/>
      <c r="O452" s="242"/>
      <c r="P452" s="243"/>
    </row>
    <row r="453" spans="2:16" ht="12.75">
      <c r="B453" s="238"/>
      <c r="H453" s="155"/>
      <c r="I453" s="239"/>
      <c r="L453" s="240"/>
      <c r="M453" s="241"/>
      <c r="N453" s="178"/>
      <c r="O453" s="242"/>
      <c r="P453" s="243"/>
    </row>
    <row r="454" spans="2:16" ht="12.75">
      <c r="B454" s="238"/>
      <c r="H454" s="155"/>
      <c r="I454" s="239"/>
      <c r="L454" s="240"/>
      <c r="M454" s="241"/>
      <c r="N454" s="178"/>
      <c r="O454" s="242"/>
      <c r="P454" s="243"/>
    </row>
    <row r="455" spans="2:16" ht="12.75">
      <c r="B455" s="238"/>
      <c r="H455" s="155"/>
      <c r="I455" s="239"/>
      <c r="L455" s="240"/>
      <c r="M455" s="241"/>
      <c r="N455" s="178"/>
      <c r="O455" s="242"/>
      <c r="P455" s="243"/>
    </row>
    <row r="456" spans="2:16" ht="12.75">
      <c r="B456" s="238"/>
      <c r="H456" s="155"/>
      <c r="I456" s="239"/>
      <c r="L456" s="240"/>
      <c r="M456" s="241"/>
      <c r="N456" s="178"/>
      <c r="O456" s="242"/>
      <c r="P456" s="243"/>
    </row>
    <row r="457" spans="2:16" ht="12.75">
      <c r="B457" s="238"/>
      <c r="H457" s="155"/>
      <c r="I457" s="239"/>
      <c r="L457" s="240"/>
      <c r="M457" s="241"/>
      <c r="N457" s="178"/>
      <c r="O457" s="242"/>
      <c r="P457" s="243"/>
    </row>
    <row r="458" spans="2:16" ht="12.75">
      <c r="B458" s="238"/>
      <c r="H458" s="155"/>
      <c r="I458" s="239"/>
      <c r="L458" s="240"/>
      <c r="M458" s="241"/>
      <c r="N458" s="178"/>
      <c r="O458" s="242"/>
      <c r="P458" s="243"/>
    </row>
    <row r="459" spans="2:16" ht="12.75">
      <c r="B459" s="238"/>
      <c r="H459" s="155"/>
      <c r="I459" s="239"/>
      <c r="L459" s="240"/>
      <c r="M459" s="241"/>
      <c r="N459" s="178"/>
      <c r="O459" s="242"/>
      <c r="P459" s="243"/>
    </row>
    <row r="460" spans="2:16" ht="12.75">
      <c r="B460" s="238"/>
      <c r="H460" s="155"/>
      <c r="I460" s="239"/>
      <c r="L460" s="240"/>
      <c r="M460" s="241"/>
      <c r="N460" s="178"/>
      <c r="O460" s="242"/>
      <c r="P460" s="243"/>
    </row>
    <row r="461" spans="2:16" ht="12.75">
      <c r="B461" s="238"/>
      <c r="H461" s="155"/>
      <c r="I461" s="239"/>
      <c r="L461" s="240"/>
      <c r="M461" s="241"/>
      <c r="N461" s="178"/>
      <c r="O461" s="242"/>
      <c r="P461" s="243"/>
    </row>
    <row r="462" spans="2:16" ht="12.75">
      <c r="B462" s="238"/>
      <c r="H462" s="155"/>
      <c r="I462" s="239"/>
      <c r="L462" s="240"/>
      <c r="M462" s="241"/>
      <c r="N462" s="178"/>
      <c r="O462" s="242"/>
      <c r="P462" s="243"/>
    </row>
    <row r="463" spans="2:16" ht="12.75">
      <c r="B463" s="238"/>
      <c r="H463" s="155"/>
      <c r="I463" s="239"/>
      <c r="L463" s="240"/>
      <c r="M463" s="241"/>
      <c r="N463" s="178"/>
      <c r="O463" s="242"/>
      <c r="P463" s="243"/>
    </row>
    <row r="464" spans="2:16" ht="12.75">
      <c r="B464" s="238"/>
      <c r="H464" s="155"/>
      <c r="I464" s="239"/>
      <c r="L464" s="240"/>
      <c r="M464" s="241"/>
      <c r="N464" s="178"/>
      <c r="O464" s="242"/>
      <c r="P464" s="243"/>
    </row>
    <row r="465" spans="2:16" ht="12.75">
      <c r="B465" s="238"/>
      <c r="H465" s="155"/>
      <c r="I465" s="239"/>
      <c r="L465" s="240"/>
      <c r="M465" s="241"/>
      <c r="N465" s="178"/>
      <c r="O465" s="242"/>
      <c r="P465" s="243"/>
    </row>
    <row r="466" spans="2:16" ht="12.75">
      <c r="B466" s="238"/>
      <c r="H466" s="155"/>
      <c r="I466" s="239"/>
      <c r="L466" s="240"/>
      <c r="M466" s="241"/>
      <c r="N466" s="178"/>
      <c r="O466" s="242"/>
      <c r="P466" s="243"/>
    </row>
    <row r="467" spans="2:16" ht="12.75">
      <c r="B467" s="238"/>
      <c r="H467" s="155"/>
      <c r="I467" s="239"/>
      <c r="L467" s="240"/>
      <c r="M467" s="241"/>
      <c r="N467" s="178"/>
      <c r="O467" s="242"/>
      <c r="P467" s="243"/>
    </row>
    <row r="468" spans="2:16" ht="12.75">
      <c r="B468" s="238"/>
      <c r="H468" s="155"/>
      <c r="I468" s="239"/>
      <c r="L468" s="240"/>
      <c r="M468" s="241"/>
      <c r="N468" s="178"/>
      <c r="O468" s="242"/>
      <c r="P468" s="243"/>
    </row>
    <row r="469" spans="2:16" ht="12.75">
      <c r="B469" s="238"/>
      <c r="H469" s="155"/>
      <c r="I469" s="239"/>
      <c r="L469" s="240"/>
      <c r="M469" s="241"/>
      <c r="N469" s="178"/>
      <c r="O469" s="242"/>
      <c r="P469" s="243"/>
    </row>
    <row r="470" spans="2:16" ht="12.75">
      <c r="B470" s="238"/>
      <c r="H470" s="155"/>
      <c r="I470" s="239"/>
      <c r="L470" s="240"/>
      <c r="M470" s="241"/>
      <c r="N470" s="178"/>
      <c r="O470" s="242"/>
      <c r="P470" s="243"/>
    </row>
    <row r="471" spans="2:16" ht="12.75">
      <c r="B471" s="238"/>
      <c r="H471" s="155"/>
      <c r="I471" s="239"/>
      <c r="L471" s="240"/>
      <c r="M471" s="241"/>
      <c r="N471" s="178"/>
      <c r="O471" s="242"/>
      <c r="P471" s="243"/>
    </row>
    <row r="472" spans="2:16" ht="12.75">
      <c r="B472" s="238"/>
      <c r="H472" s="155"/>
      <c r="I472" s="239"/>
      <c r="L472" s="240"/>
      <c r="M472" s="241"/>
      <c r="N472" s="178"/>
      <c r="O472" s="242"/>
      <c r="P472" s="243"/>
    </row>
    <row r="473" spans="2:16" ht="12.75">
      <c r="B473" s="238"/>
      <c r="H473" s="155"/>
      <c r="I473" s="239"/>
      <c r="L473" s="240"/>
      <c r="M473" s="241"/>
      <c r="N473" s="178"/>
      <c r="O473" s="242"/>
      <c r="P473" s="243"/>
    </row>
    <row r="474" spans="2:16" ht="12.75">
      <c r="B474" s="238"/>
      <c r="H474" s="155"/>
      <c r="I474" s="239"/>
      <c r="L474" s="240"/>
      <c r="M474" s="241"/>
      <c r="N474" s="178"/>
      <c r="O474" s="242"/>
      <c r="P474" s="243"/>
    </row>
    <row r="475" spans="2:16" ht="12.75">
      <c r="B475" s="238"/>
      <c r="H475" s="155"/>
      <c r="I475" s="239"/>
      <c r="L475" s="240"/>
      <c r="M475" s="241"/>
      <c r="N475" s="178"/>
      <c r="O475" s="242"/>
      <c r="P475" s="243"/>
    </row>
    <row r="476" spans="2:16" ht="12.75">
      <c r="B476" s="238"/>
      <c r="H476" s="155"/>
      <c r="I476" s="239"/>
      <c r="L476" s="240"/>
      <c r="M476" s="241"/>
      <c r="N476" s="178"/>
      <c r="O476" s="242"/>
      <c r="P476" s="243"/>
    </row>
    <row r="477" spans="2:16" ht="12.75">
      <c r="B477" s="238"/>
      <c r="H477" s="155"/>
      <c r="I477" s="239"/>
      <c r="L477" s="240"/>
      <c r="M477" s="241"/>
      <c r="N477" s="178"/>
      <c r="O477" s="242"/>
      <c r="P477" s="243"/>
    </row>
    <row r="478" spans="2:16" ht="12.75">
      <c r="B478" s="238"/>
      <c r="H478" s="155"/>
      <c r="I478" s="239"/>
      <c r="L478" s="240"/>
      <c r="M478" s="241"/>
      <c r="N478" s="178"/>
      <c r="O478" s="242"/>
      <c r="P478" s="243"/>
    </row>
    <row r="479" spans="2:16" ht="12.75">
      <c r="B479" s="238"/>
      <c r="H479" s="155"/>
      <c r="I479" s="239"/>
      <c r="L479" s="240"/>
      <c r="M479" s="241"/>
      <c r="N479" s="178"/>
      <c r="O479" s="242"/>
      <c r="P479" s="243"/>
    </row>
    <row r="480" spans="2:16" ht="12.75">
      <c r="B480" s="238"/>
      <c r="H480" s="155"/>
      <c r="I480" s="239"/>
      <c r="L480" s="240"/>
      <c r="M480" s="241"/>
      <c r="N480" s="178"/>
      <c r="O480" s="242"/>
      <c r="P480" s="243"/>
    </row>
    <row r="481" spans="2:16" ht="12.75">
      <c r="B481" s="238"/>
      <c r="H481" s="155"/>
      <c r="I481" s="239"/>
      <c r="L481" s="240"/>
      <c r="M481" s="241"/>
      <c r="N481" s="178"/>
      <c r="O481" s="242"/>
      <c r="P481" s="243"/>
    </row>
    <row r="482" spans="2:16" ht="12.75">
      <c r="B482" s="238"/>
      <c r="H482" s="155"/>
      <c r="I482" s="239"/>
      <c r="L482" s="240"/>
      <c r="M482" s="241"/>
      <c r="N482" s="178"/>
      <c r="O482" s="242"/>
      <c r="P482" s="243"/>
    </row>
    <row r="483" spans="2:16" ht="12.75">
      <c r="B483" s="238"/>
      <c r="H483" s="155"/>
      <c r="I483" s="239"/>
      <c r="L483" s="240"/>
      <c r="M483" s="241"/>
      <c r="N483" s="178"/>
      <c r="O483" s="242"/>
      <c r="P483" s="243"/>
    </row>
    <row r="484" spans="2:16" ht="12.75">
      <c r="B484" s="238"/>
      <c r="H484" s="155"/>
      <c r="I484" s="239"/>
      <c r="L484" s="240"/>
      <c r="M484" s="241"/>
      <c r="N484" s="178"/>
      <c r="O484" s="242"/>
      <c r="P484" s="243"/>
    </row>
    <row r="485" spans="2:16" ht="12.75">
      <c r="B485" s="238"/>
      <c r="H485" s="155"/>
      <c r="I485" s="239"/>
      <c r="L485" s="240"/>
      <c r="M485" s="241"/>
      <c r="N485" s="178"/>
      <c r="O485" s="242"/>
      <c r="P485" s="243"/>
    </row>
    <row r="486" spans="2:16" ht="12.75">
      <c r="B486" s="238"/>
      <c r="H486" s="155"/>
      <c r="I486" s="239"/>
      <c r="L486" s="240"/>
      <c r="M486" s="241"/>
      <c r="N486" s="178"/>
      <c r="O486" s="242"/>
      <c r="P486" s="243"/>
    </row>
    <row r="487" spans="2:16" ht="12.75">
      <c r="B487" s="238"/>
      <c r="H487" s="155"/>
      <c r="I487" s="239"/>
      <c r="L487" s="240"/>
      <c r="M487" s="241"/>
      <c r="N487" s="178"/>
      <c r="O487" s="242"/>
      <c r="P487" s="243"/>
    </row>
    <row r="488" spans="2:16" ht="12.75">
      <c r="B488" s="238"/>
      <c r="H488" s="155"/>
      <c r="I488" s="239"/>
      <c r="L488" s="240"/>
      <c r="M488" s="241"/>
      <c r="N488" s="178"/>
      <c r="O488" s="242"/>
      <c r="P488" s="243"/>
    </row>
    <row r="489" spans="2:16" ht="12.75">
      <c r="B489" s="238"/>
      <c r="H489" s="155"/>
      <c r="I489" s="239"/>
      <c r="L489" s="240"/>
      <c r="M489" s="241"/>
      <c r="N489" s="178"/>
      <c r="O489" s="242"/>
      <c r="P489" s="243"/>
    </row>
    <row r="490" spans="2:16" ht="12.75">
      <c r="B490" s="238"/>
      <c r="H490" s="155"/>
      <c r="I490" s="239"/>
      <c r="L490" s="240"/>
      <c r="M490" s="241"/>
      <c r="N490" s="178"/>
      <c r="O490" s="242"/>
      <c r="P490" s="243"/>
    </row>
    <row r="491" spans="2:16" ht="12.75">
      <c r="B491" s="238"/>
      <c r="H491" s="155"/>
      <c r="I491" s="239"/>
      <c r="L491" s="240"/>
      <c r="M491" s="241"/>
      <c r="N491" s="178"/>
      <c r="O491" s="242"/>
      <c r="P491" s="243"/>
    </row>
    <row r="492" spans="2:16" ht="12.75">
      <c r="B492" s="238"/>
      <c r="H492" s="155"/>
      <c r="I492" s="239"/>
      <c r="L492" s="240"/>
      <c r="M492" s="241"/>
      <c r="N492" s="178"/>
      <c r="O492" s="242"/>
      <c r="P492" s="243"/>
    </row>
    <row r="493" spans="2:16" ht="12.75">
      <c r="B493" s="238"/>
      <c r="H493" s="155"/>
      <c r="I493" s="239"/>
      <c r="L493" s="240"/>
      <c r="M493" s="241"/>
      <c r="N493" s="178"/>
      <c r="O493" s="242"/>
      <c r="P493" s="243"/>
    </row>
    <row r="494" spans="2:16" ht="12.75">
      <c r="B494" s="238"/>
      <c r="H494" s="155"/>
      <c r="I494" s="239"/>
      <c r="L494" s="240"/>
      <c r="M494" s="241"/>
      <c r="N494" s="178"/>
      <c r="O494" s="242"/>
      <c r="P494" s="243"/>
    </row>
    <row r="495" spans="2:16" ht="12.75">
      <c r="B495" s="238"/>
      <c r="H495" s="155"/>
      <c r="I495" s="239"/>
      <c r="L495" s="240"/>
      <c r="M495" s="241"/>
      <c r="N495" s="178"/>
      <c r="O495" s="242"/>
      <c r="P495" s="243"/>
    </row>
    <row r="496" spans="2:16" ht="12.75">
      <c r="B496" s="238"/>
      <c r="H496" s="155"/>
      <c r="I496" s="239"/>
      <c r="L496" s="240"/>
      <c r="M496" s="241"/>
      <c r="N496" s="178"/>
      <c r="O496" s="242"/>
      <c r="P496" s="243"/>
    </row>
    <row r="497" spans="2:16" ht="12.75">
      <c r="B497" s="238"/>
      <c r="H497" s="155"/>
      <c r="I497" s="239"/>
      <c r="L497" s="240"/>
      <c r="M497" s="241"/>
      <c r="N497" s="178"/>
      <c r="O497" s="242"/>
      <c r="P497" s="243"/>
    </row>
    <row r="498" spans="2:16" ht="12.75">
      <c r="B498" s="238"/>
      <c r="H498" s="155"/>
      <c r="I498" s="239"/>
      <c r="L498" s="240"/>
      <c r="M498" s="241"/>
      <c r="N498" s="178"/>
      <c r="O498" s="242"/>
      <c r="P498" s="243"/>
    </row>
    <row r="499" spans="2:16" ht="12.75">
      <c r="B499" s="238"/>
      <c r="H499" s="155"/>
      <c r="I499" s="239"/>
      <c r="L499" s="240"/>
      <c r="M499" s="241"/>
      <c r="N499" s="178"/>
      <c r="O499" s="242"/>
      <c r="P499" s="243"/>
    </row>
    <row r="500" spans="2:16" ht="12.75">
      <c r="B500" s="238"/>
      <c r="H500" s="155"/>
      <c r="I500" s="239"/>
      <c r="L500" s="240"/>
      <c r="M500" s="241"/>
      <c r="N500" s="178"/>
      <c r="O500" s="242"/>
      <c r="P500" s="243"/>
    </row>
    <row r="501" spans="2:16" ht="12.75">
      <c r="B501" s="238"/>
      <c r="H501" s="155"/>
      <c r="I501" s="239"/>
      <c r="L501" s="240"/>
      <c r="M501" s="241"/>
      <c r="N501" s="178"/>
      <c r="O501" s="242"/>
      <c r="P501" s="243"/>
    </row>
    <row r="502" spans="2:16" ht="12.75">
      <c r="B502" s="238"/>
      <c r="H502" s="155"/>
      <c r="I502" s="239"/>
      <c r="L502" s="240"/>
      <c r="M502" s="241"/>
      <c r="N502" s="178"/>
      <c r="O502" s="242"/>
      <c r="P502" s="243"/>
    </row>
    <row r="503" spans="2:16" ht="12.75">
      <c r="B503" s="238"/>
      <c r="H503" s="155"/>
      <c r="I503" s="239"/>
      <c r="L503" s="240"/>
      <c r="M503" s="241"/>
      <c r="N503" s="178"/>
      <c r="O503" s="242"/>
      <c r="P503" s="243"/>
    </row>
    <row r="504" spans="2:16" ht="12.75">
      <c r="B504" s="238"/>
      <c r="H504" s="155"/>
      <c r="I504" s="239"/>
      <c r="L504" s="240"/>
      <c r="M504" s="241"/>
      <c r="N504" s="178"/>
      <c r="O504" s="242"/>
      <c r="P504" s="243"/>
    </row>
    <row r="505" spans="2:16" ht="12.75">
      <c r="B505" s="238"/>
      <c r="H505" s="155"/>
      <c r="I505" s="239"/>
      <c r="L505" s="240"/>
      <c r="M505" s="241"/>
      <c r="N505" s="178"/>
      <c r="O505" s="242"/>
      <c r="P505" s="243"/>
    </row>
    <row r="506" spans="2:16" ht="12.75">
      <c r="B506" s="238"/>
      <c r="H506" s="155"/>
      <c r="I506" s="239"/>
      <c r="L506" s="240"/>
      <c r="M506" s="241"/>
      <c r="N506" s="178"/>
      <c r="O506" s="242"/>
      <c r="P506" s="243"/>
    </row>
    <row r="507" spans="2:16" ht="12.75">
      <c r="B507" s="238"/>
      <c r="H507" s="155"/>
      <c r="I507" s="239"/>
      <c r="L507" s="240"/>
      <c r="M507" s="241"/>
      <c r="N507" s="178"/>
      <c r="O507" s="242"/>
      <c r="P507" s="243"/>
    </row>
    <row r="508" spans="2:16" ht="12.75">
      <c r="B508" s="238"/>
      <c r="H508" s="155"/>
      <c r="I508" s="239"/>
      <c r="L508" s="240"/>
      <c r="M508" s="241"/>
      <c r="N508" s="178"/>
      <c r="O508" s="242"/>
      <c r="P508" s="243"/>
    </row>
    <row r="509" spans="2:16" ht="12.75">
      <c r="B509" s="238"/>
      <c r="H509" s="155"/>
      <c r="I509" s="239"/>
      <c r="L509" s="240"/>
      <c r="M509" s="241"/>
      <c r="N509" s="178"/>
      <c r="O509" s="242"/>
      <c r="P509" s="243"/>
    </row>
    <row r="510" spans="2:16" ht="12.75">
      <c r="B510" s="238"/>
      <c r="H510" s="155"/>
      <c r="I510" s="239"/>
      <c r="L510" s="240"/>
      <c r="M510" s="241"/>
      <c r="N510" s="178"/>
      <c r="O510" s="242"/>
      <c r="P510" s="243"/>
    </row>
    <row r="511" spans="2:16" ht="12.75">
      <c r="B511" s="238"/>
      <c r="H511" s="155"/>
      <c r="I511" s="239"/>
      <c r="L511" s="240"/>
      <c r="M511" s="241"/>
      <c r="N511" s="178"/>
      <c r="O511" s="242"/>
      <c r="P511" s="243"/>
    </row>
    <row r="512" spans="2:16" ht="12.75">
      <c r="B512" s="238"/>
      <c r="H512" s="155"/>
      <c r="I512" s="239"/>
      <c r="L512" s="240"/>
      <c r="M512" s="241"/>
      <c r="N512" s="178"/>
      <c r="O512" s="242"/>
      <c r="P512" s="243"/>
    </row>
    <row r="513" spans="2:16" ht="12.75">
      <c r="B513" s="238"/>
      <c r="H513" s="155"/>
      <c r="I513" s="239"/>
      <c r="L513" s="240"/>
      <c r="M513" s="241"/>
      <c r="N513" s="178"/>
      <c r="O513" s="242"/>
      <c r="P513" s="243"/>
    </row>
    <row r="514" spans="2:16" ht="12.75">
      <c r="B514" s="238"/>
      <c r="H514" s="155"/>
      <c r="I514" s="239"/>
      <c r="L514" s="240"/>
      <c r="M514" s="241"/>
      <c r="N514" s="178"/>
      <c r="O514" s="242"/>
      <c r="P514" s="243"/>
    </row>
    <row r="515" spans="2:16" ht="12.75">
      <c r="B515" s="238"/>
      <c r="H515" s="155"/>
      <c r="I515" s="239"/>
      <c r="L515" s="240"/>
      <c r="M515" s="241"/>
      <c r="N515" s="178"/>
      <c r="O515" s="242"/>
      <c r="P515" s="243"/>
    </row>
    <row r="516" spans="2:16" ht="12.75">
      <c r="B516" s="238"/>
      <c r="H516" s="155"/>
      <c r="I516" s="239"/>
      <c r="L516" s="240"/>
      <c r="M516" s="241"/>
      <c r="N516" s="178"/>
      <c r="O516" s="242"/>
      <c r="P516" s="243"/>
    </row>
    <row r="517" spans="2:16" ht="12.75">
      <c r="B517" s="238"/>
      <c r="H517" s="155"/>
      <c r="I517" s="239"/>
      <c r="L517" s="240"/>
      <c r="M517" s="241"/>
      <c r="N517" s="178"/>
      <c r="O517" s="242"/>
      <c r="P517" s="243"/>
    </row>
    <row r="518" spans="2:16" ht="12.75">
      <c r="B518" s="238"/>
      <c r="H518" s="155"/>
      <c r="I518" s="239"/>
      <c r="L518" s="240"/>
      <c r="M518" s="241"/>
      <c r="N518" s="178"/>
      <c r="O518" s="242"/>
      <c r="P518" s="243"/>
    </row>
    <row r="519" spans="2:16" ht="12.75">
      <c r="B519" s="238"/>
      <c r="H519" s="155"/>
      <c r="I519" s="239"/>
      <c r="L519" s="240"/>
      <c r="M519" s="241"/>
      <c r="N519" s="178"/>
      <c r="O519" s="242"/>
      <c r="P519" s="243"/>
    </row>
    <row r="520" spans="2:16" ht="12.75">
      <c r="B520" s="238"/>
      <c r="H520" s="155"/>
      <c r="I520" s="239"/>
      <c r="L520" s="240"/>
      <c r="M520" s="241"/>
      <c r="N520" s="178"/>
      <c r="O520" s="242"/>
      <c r="P520" s="243"/>
    </row>
    <row r="521" spans="2:16" ht="12.75">
      <c r="B521" s="238"/>
      <c r="H521" s="155"/>
      <c r="I521" s="239"/>
      <c r="L521" s="240"/>
      <c r="M521" s="241"/>
      <c r="N521" s="178"/>
      <c r="O521" s="242"/>
      <c r="P521" s="243"/>
    </row>
    <row r="522" spans="2:16" ht="12.75">
      <c r="B522" s="238"/>
      <c r="H522" s="155"/>
      <c r="I522" s="239"/>
      <c r="L522" s="240"/>
      <c r="M522" s="241"/>
      <c r="N522" s="178"/>
      <c r="O522" s="242"/>
      <c r="P522" s="243"/>
    </row>
    <row r="523" spans="2:16" ht="12.75">
      <c r="B523" s="238"/>
      <c r="H523" s="155"/>
      <c r="I523" s="239"/>
      <c r="L523" s="240"/>
      <c r="M523" s="241"/>
      <c r="N523" s="178"/>
      <c r="O523" s="242"/>
      <c r="P523" s="243"/>
    </row>
    <row r="524" spans="2:16" ht="12.75">
      <c r="B524" s="238"/>
      <c r="H524" s="155"/>
      <c r="I524" s="239"/>
      <c r="L524" s="240"/>
      <c r="M524" s="241"/>
      <c r="N524" s="178"/>
      <c r="O524" s="242"/>
      <c r="P524" s="243"/>
    </row>
    <row r="525" spans="2:16" ht="12.75">
      <c r="B525" s="238"/>
      <c r="H525" s="155"/>
      <c r="I525" s="239"/>
      <c r="L525" s="240"/>
      <c r="M525" s="241"/>
      <c r="N525" s="178"/>
      <c r="O525" s="242"/>
      <c r="P525" s="243"/>
    </row>
    <row r="526" spans="2:16" ht="12.75">
      <c r="B526" s="238"/>
      <c r="H526" s="155"/>
      <c r="I526" s="239"/>
      <c r="L526" s="240"/>
      <c r="M526" s="241"/>
      <c r="N526" s="178"/>
      <c r="O526" s="242"/>
      <c r="P526" s="243"/>
    </row>
    <row r="527" spans="2:16" ht="12.75">
      <c r="B527" s="238"/>
      <c r="H527" s="155"/>
      <c r="I527" s="239"/>
      <c r="L527" s="240"/>
      <c r="M527" s="241"/>
      <c r="N527" s="178"/>
      <c r="O527" s="242"/>
      <c r="P527" s="243"/>
    </row>
    <row r="528" spans="2:16" ht="12.75">
      <c r="B528" s="238"/>
      <c r="H528" s="155"/>
      <c r="I528" s="239"/>
      <c r="L528" s="240"/>
      <c r="M528" s="241"/>
      <c r="N528" s="178"/>
      <c r="O528" s="242"/>
      <c r="P528" s="243"/>
    </row>
    <row r="529" spans="2:16" ht="12.75">
      <c r="B529" s="238"/>
      <c r="H529" s="155"/>
      <c r="I529" s="239"/>
      <c r="L529" s="240"/>
      <c r="M529" s="241"/>
      <c r="N529" s="178"/>
      <c r="O529" s="242"/>
      <c r="P529" s="243"/>
    </row>
    <row r="530" spans="2:16" ht="12.75">
      <c r="B530" s="238"/>
      <c r="H530" s="155"/>
      <c r="I530" s="239"/>
      <c r="L530" s="240"/>
      <c r="M530" s="241"/>
      <c r="N530" s="178"/>
      <c r="O530" s="242"/>
      <c r="P530" s="243"/>
    </row>
    <row r="531" spans="2:16" ht="12.75">
      <c r="B531" s="238"/>
      <c r="H531" s="155"/>
      <c r="I531" s="239"/>
      <c r="L531" s="240"/>
      <c r="M531" s="241"/>
      <c r="N531" s="178"/>
      <c r="O531" s="242"/>
      <c r="P531" s="243"/>
    </row>
    <row r="532" spans="2:16" ht="12.75">
      <c r="B532" s="238"/>
      <c r="H532" s="155"/>
      <c r="I532" s="239"/>
      <c r="L532" s="240"/>
      <c r="M532" s="241"/>
      <c r="N532" s="178"/>
      <c r="O532" s="242"/>
      <c r="P532" s="243"/>
    </row>
    <row r="533" spans="2:16" ht="12.75">
      <c r="B533" s="238"/>
      <c r="H533" s="155"/>
      <c r="I533" s="239"/>
      <c r="L533" s="240"/>
      <c r="M533" s="241"/>
      <c r="N533" s="178"/>
      <c r="O533" s="242"/>
      <c r="P533" s="243"/>
    </row>
    <row r="534" spans="2:16" ht="12.75">
      <c r="B534" s="238"/>
      <c r="H534" s="155"/>
      <c r="I534" s="239"/>
      <c r="L534" s="240"/>
      <c r="M534" s="241"/>
      <c r="N534" s="178"/>
      <c r="O534" s="242"/>
      <c r="P534" s="243"/>
    </row>
    <row r="535" spans="2:16" ht="12.75">
      <c r="B535" s="238"/>
      <c r="H535" s="155"/>
      <c r="I535" s="239"/>
      <c r="L535" s="240"/>
      <c r="M535" s="241"/>
      <c r="N535" s="178"/>
      <c r="O535" s="242"/>
      <c r="P535" s="243"/>
    </row>
    <row r="536" spans="2:16" ht="12.75">
      <c r="B536" s="238"/>
      <c r="H536" s="155"/>
      <c r="I536" s="239"/>
      <c r="L536" s="240"/>
      <c r="M536" s="241"/>
      <c r="N536" s="178"/>
      <c r="O536" s="242"/>
      <c r="P536" s="243"/>
    </row>
    <row r="537" spans="2:16" ht="12.75">
      <c r="B537" s="238"/>
      <c r="H537" s="155"/>
      <c r="I537" s="239"/>
      <c r="L537" s="240"/>
      <c r="M537" s="241"/>
      <c r="N537" s="178"/>
      <c r="O537" s="242"/>
      <c r="P537" s="243"/>
    </row>
    <row r="538" spans="2:16" ht="12.75">
      <c r="B538" s="238"/>
      <c r="H538" s="155"/>
      <c r="I538" s="239"/>
      <c r="L538" s="240"/>
      <c r="M538" s="241"/>
      <c r="N538" s="178"/>
      <c r="O538" s="242"/>
      <c r="P538" s="243"/>
    </row>
    <row r="539" spans="2:16" ht="12.75">
      <c r="B539" s="238"/>
      <c r="H539" s="155"/>
      <c r="I539" s="239"/>
      <c r="L539" s="240"/>
      <c r="M539" s="241"/>
      <c r="N539" s="178"/>
      <c r="O539" s="242"/>
      <c r="P539" s="243"/>
    </row>
    <row r="540" spans="2:16" ht="12.75">
      <c r="B540" s="238"/>
      <c r="H540" s="155"/>
      <c r="I540" s="239"/>
      <c r="L540" s="240"/>
      <c r="M540" s="241"/>
      <c r="N540" s="178"/>
      <c r="O540" s="242"/>
      <c r="P540" s="243"/>
    </row>
    <row r="541" spans="2:16" ht="12.75">
      <c r="B541" s="238"/>
      <c r="H541" s="155"/>
      <c r="I541" s="239"/>
      <c r="L541" s="240"/>
      <c r="M541" s="241"/>
      <c r="N541" s="178"/>
      <c r="O541" s="242"/>
      <c r="P541" s="243"/>
    </row>
    <row r="542" spans="2:16" ht="12.75">
      <c r="B542" s="238"/>
      <c r="H542" s="155"/>
      <c r="I542" s="239"/>
      <c r="L542" s="240"/>
      <c r="M542" s="241"/>
      <c r="N542" s="178"/>
      <c r="O542" s="242"/>
      <c r="P542" s="243"/>
    </row>
    <row r="543" spans="2:16" ht="12.75">
      <c r="B543" s="238"/>
      <c r="H543" s="155"/>
      <c r="I543" s="239"/>
      <c r="L543" s="240"/>
      <c r="M543" s="241"/>
      <c r="N543" s="178"/>
      <c r="O543" s="242"/>
      <c r="P543" s="243"/>
    </row>
    <row r="544" spans="2:16" ht="12.75">
      <c r="B544" s="238"/>
      <c r="H544" s="155"/>
      <c r="I544" s="239"/>
      <c r="L544" s="240"/>
      <c r="M544" s="241"/>
      <c r="N544" s="178"/>
      <c r="O544" s="242"/>
      <c r="P544" s="243"/>
    </row>
    <row r="545" spans="2:16" ht="12.75">
      <c r="B545" s="238"/>
      <c r="H545" s="155"/>
      <c r="I545" s="239"/>
      <c r="L545" s="240"/>
      <c r="M545" s="241"/>
      <c r="N545" s="178"/>
      <c r="O545" s="242"/>
      <c r="P545" s="243"/>
    </row>
    <row r="546" spans="2:16" ht="12.75">
      <c r="B546" s="238"/>
      <c r="H546" s="155"/>
      <c r="I546" s="239"/>
      <c r="L546" s="240"/>
      <c r="M546" s="241"/>
      <c r="N546" s="178"/>
      <c r="O546" s="242"/>
      <c r="P546" s="243"/>
    </row>
    <row r="547" spans="2:16" ht="12.75">
      <c r="B547" s="238"/>
      <c r="H547" s="155"/>
      <c r="I547" s="239"/>
      <c r="L547" s="240"/>
      <c r="M547" s="241"/>
      <c r="N547" s="178"/>
      <c r="O547" s="242"/>
      <c r="P547" s="243"/>
    </row>
    <row r="548" spans="2:16" ht="12.75">
      <c r="B548" s="238"/>
      <c r="H548" s="155"/>
      <c r="I548" s="239"/>
      <c r="L548" s="240"/>
      <c r="M548" s="241"/>
      <c r="N548" s="178"/>
      <c r="O548" s="242"/>
      <c r="P548" s="243"/>
    </row>
    <row r="549" spans="2:16" ht="12.75">
      <c r="B549" s="238"/>
      <c r="H549" s="155"/>
      <c r="I549" s="239"/>
      <c r="L549" s="240"/>
      <c r="M549" s="241"/>
      <c r="N549" s="178"/>
      <c r="O549" s="242"/>
      <c r="P549" s="243"/>
    </row>
    <row r="550" spans="2:16" ht="12.75">
      <c r="B550" s="238"/>
      <c r="H550" s="155"/>
      <c r="I550" s="239"/>
      <c r="L550" s="240"/>
      <c r="M550" s="241"/>
      <c r="N550" s="178"/>
      <c r="O550" s="242"/>
      <c r="P550" s="243"/>
    </row>
    <row r="551" spans="2:16" ht="12.75">
      <c r="B551" s="238"/>
      <c r="H551" s="155"/>
      <c r="I551" s="239"/>
      <c r="L551" s="240"/>
      <c r="M551" s="241"/>
      <c r="N551" s="178"/>
      <c r="O551" s="242"/>
      <c r="P551" s="243"/>
    </row>
    <row r="552" spans="2:16" ht="12.75">
      <c r="B552" s="238"/>
      <c r="H552" s="155"/>
      <c r="I552" s="239"/>
      <c r="L552" s="240"/>
      <c r="M552" s="241"/>
      <c r="N552" s="178"/>
      <c r="O552" s="242"/>
      <c r="P552" s="243"/>
    </row>
    <row r="553" spans="2:16" ht="12.75">
      <c r="B553" s="238"/>
      <c r="H553" s="155"/>
      <c r="I553" s="239"/>
      <c r="L553" s="240"/>
      <c r="M553" s="241"/>
      <c r="N553" s="178"/>
      <c r="O553" s="242"/>
      <c r="P553" s="243"/>
    </row>
    <row r="554" spans="2:16" ht="12.75">
      <c r="B554" s="238"/>
      <c r="H554" s="155"/>
      <c r="I554" s="239"/>
      <c r="L554" s="240"/>
      <c r="M554" s="241"/>
      <c r="N554" s="178"/>
      <c r="O554" s="242"/>
      <c r="P554" s="243"/>
    </row>
    <row r="555" spans="2:16" ht="12.75">
      <c r="B555" s="238"/>
      <c r="H555" s="155"/>
      <c r="I555" s="239"/>
      <c r="L555" s="240"/>
      <c r="M555" s="241"/>
      <c r="N555" s="178"/>
      <c r="O555" s="242"/>
      <c r="P555" s="243"/>
    </row>
    <row r="556" spans="2:16" ht="12.75">
      <c r="B556" s="238"/>
      <c r="H556" s="155"/>
      <c r="I556" s="239"/>
      <c r="L556" s="240"/>
      <c r="M556" s="241"/>
      <c r="N556" s="178"/>
      <c r="O556" s="242"/>
      <c r="P556" s="243"/>
    </row>
    <row r="557" spans="2:16" ht="12.75">
      <c r="B557" s="238"/>
      <c r="H557" s="155"/>
      <c r="I557" s="239"/>
      <c r="L557" s="240"/>
      <c r="M557" s="241"/>
      <c r="N557" s="178"/>
      <c r="O557" s="242"/>
      <c r="P557" s="243"/>
    </row>
    <row r="558" spans="2:16" ht="12.75">
      <c r="B558" s="238"/>
      <c r="H558" s="155"/>
      <c r="I558" s="239"/>
      <c r="L558" s="240"/>
      <c r="M558" s="241"/>
      <c r="N558" s="178"/>
      <c r="O558" s="242"/>
      <c r="P558" s="243"/>
    </row>
    <row r="559" spans="2:16" ht="12.75">
      <c r="B559" s="238"/>
      <c r="H559" s="155"/>
      <c r="I559" s="239"/>
      <c r="L559" s="240"/>
      <c r="M559" s="241"/>
      <c r="N559" s="178"/>
      <c r="O559" s="242"/>
      <c r="P559" s="243"/>
    </row>
    <row r="560" spans="2:16" ht="12.75">
      <c r="B560" s="238"/>
      <c r="H560" s="155"/>
      <c r="I560" s="239"/>
      <c r="L560" s="240"/>
      <c r="M560" s="241"/>
      <c r="N560" s="178"/>
      <c r="O560" s="242"/>
      <c r="P560" s="243"/>
    </row>
    <row r="561" spans="2:16" ht="12.75">
      <c r="B561" s="238"/>
      <c r="H561" s="155"/>
      <c r="I561" s="239"/>
      <c r="L561" s="240"/>
      <c r="M561" s="241"/>
      <c r="N561" s="178"/>
      <c r="O561" s="242"/>
      <c r="P561" s="243"/>
    </row>
    <row r="562" spans="2:16" ht="12.75">
      <c r="B562" s="238"/>
      <c r="H562" s="155"/>
      <c r="I562" s="239"/>
      <c r="L562" s="240"/>
      <c r="M562" s="241"/>
      <c r="N562" s="178"/>
      <c r="O562" s="242"/>
      <c r="P562" s="243"/>
    </row>
    <row r="563" spans="2:16" ht="12.75">
      <c r="B563" s="238"/>
      <c r="H563" s="155"/>
      <c r="I563" s="239"/>
      <c r="L563" s="240"/>
      <c r="M563" s="241"/>
      <c r="N563" s="178"/>
      <c r="O563" s="242"/>
      <c r="P563" s="243"/>
    </row>
    <row r="564" spans="2:16" ht="12.75">
      <c r="B564" s="238"/>
      <c r="H564" s="155"/>
      <c r="I564" s="239"/>
      <c r="L564" s="240"/>
      <c r="M564" s="241"/>
      <c r="N564" s="178"/>
      <c r="O564" s="242"/>
      <c r="P564" s="243"/>
    </row>
    <row r="565" spans="2:16" ht="12.75">
      <c r="B565" s="238"/>
      <c r="H565" s="155"/>
      <c r="I565" s="239"/>
      <c r="L565" s="240"/>
      <c r="M565" s="241"/>
      <c r="N565" s="178"/>
      <c r="O565" s="242"/>
      <c r="P565" s="243"/>
    </row>
    <row r="566" spans="2:16" ht="12.75">
      <c r="B566" s="238"/>
      <c r="H566" s="155"/>
      <c r="I566" s="239"/>
      <c r="L566" s="240"/>
      <c r="M566" s="241"/>
      <c r="N566" s="178"/>
      <c r="O566" s="242"/>
      <c r="P566" s="243"/>
    </row>
    <row r="567" spans="2:16" ht="12.75">
      <c r="B567" s="238"/>
      <c r="H567" s="155"/>
      <c r="I567" s="239"/>
      <c r="L567" s="240"/>
      <c r="M567" s="241"/>
      <c r="N567" s="178"/>
      <c r="O567" s="242"/>
      <c r="P567" s="243"/>
    </row>
    <row r="568" spans="2:16" ht="12.75">
      <c r="B568" s="238"/>
      <c r="H568" s="155"/>
      <c r="I568" s="239"/>
      <c r="L568" s="240"/>
      <c r="M568" s="241"/>
      <c r="N568" s="178"/>
      <c r="O568" s="242"/>
      <c r="P568" s="243"/>
    </row>
    <row r="569" spans="2:16" ht="12.75">
      <c r="B569" s="238"/>
      <c r="H569" s="155"/>
      <c r="I569" s="239"/>
      <c r="L569" s="240"/>
      <c r="M569" s="241"/>
      <c r="N569" s="178"/>
      <c r="O569" s="242"/>
      <c r="P569" s="243"/>
    </row>
    <row r="570" spans="2:16" ht="12.75">
      <c r="B570" s="238"/>
      <c r="H570" s="155"/>
      <c r="I570" s="239"/>
      <c r="L570" s="240"/>
      <c r="M570" s="241"/>
      <c r="N570" s="178"/>
      <c r="O570" s="242"/>
      <c r="P570" s="243"/>
    </row>
    <row r="571" spans="2:16" ht="12.75">
      <c r="B571" s="238"/>
      <c r="H571" s="155"/>
      <c r="I571" s="239"/>
      <c r="L571" s="240"/>
      <c r="M571" s="241"/>
      <c r="N571" s="178"/>
      <c r="O571" s="242"/>
      <c r="P571" s="243"/>
    </row>
    <row r="572" spans="2:16" ht="12.75">
      <c r="B572" s="238"/>
      <c r="H572" s="155"/>
      <c r="I572" s="239"/>
      <c r="L572" s="240"/>
      <c r="M572" s="241"/>
      <c r="N572" s="178"/>
      <c r="O572" s="242"/>
      <c r="P572" s="243"/>
    </row>
    <row r="573" spans="2:16" ht="12.75">
      <c r="B573" s="238"/>
      <c r="H573" s="155"/>
      <c r="I573" s="239"/>
      <c r="L573" s="240"/>
      <c r="M573" s="241"/>
      <c r="N573" s="178"/>
      <c r="O573" s="242"/>
      <c r="P573" s="243"/>
    </row>
    <row r="574" spans="2:16" ht="12.75">
      <c r="B574" s="238"/>
      <c r="H574" s="155"/>
      <c r="I574" s="239"/>
      <c r="L574" s="240"/>
      <c r="M574" s="241"/>
      <c r="N574" s="178"/>
      <c r="O574" s="242"/>
      <c r="P574" s="243"/>
    </row>
    <row r="575" spans="2:16" ht="12.75">
      <c r="B575" s="238"/>
      <c r="H575" s="155"/>
      <c r="I575" s="239"/>
      <c r="L575" s="240"/>
      <c r="M575" s="241"/>
      <c r="N575" s="178"/>
      <c r="O575" s="242"/>
      <c r="P575" s="243"/>
    </row>
    <row r="576" spans="2:16" ht="12.75">
      <c r="B576" s="238"/>
      <c r="H576" s="155"/>
      <c r="I576" s="239"/>
      <c r="L576" s="240"/>
      <c r="M576" s="241"/>
      <c r="N576" s="178"/>
      <c r="O576" s="242"/>
      <c r="P576" s="243"/>
    </row>
    <row r="577" spans="2:16" ht="12.75">
      <c r="B577" s="238"/>
      <c r="H577" s="155"/>
      <c r="I577" s="239"/>
      <c r="L577" s="240"/>
      <c r="M577" s="241"/>
      <c r="N577" s="178"/>
      <c r="O577" s="242"/>
      <c r="P577" s="243"/>
    </row>
    <row r="578" spans="2:16" ht="12.75">
      <c r="B578" s="238"/>
      <c r="H578" s="155"/>
      <c r="I578" s="239"/>
      <c r="L578" s="240"/>
      <c r="M578" s="241"/>
      <c r="N578" s="178"/>
      <c r="O578" s="242"/>
      <c r="P578" s="243"/>
    </row>
    <row r="579" spans="2:16" ht="12.75">
      <c r="B579" s="238"/>
      <c r="H579" s="155"/>
      <c r="I579" s="239"/>
      <c r="L579" s="240"/>
      <c r="M579" s="241"/>
      <c r="N579" s="178"/>
      <c r="O579" s="242"/>
      <c r="P579" s="243"/>
    </row>
    <row r="580" spans="2:16" ht="12.75">
      <c r="B580" s="238"/>
      <c r="H580" s="155"/>
      <c r="I580" s="239"/>
      <c r="L580" s="240"/>
      <c r="M580" s="241"/>
      <c r="N580" s="178"/>
      <c r="O580" s="242"/>
      <c r="P580" s="243"/>
    </row>
    <row r="581" spans="2:16" ht="12.75">
      <c r="B581" s="238"/>
      <c r="H581" s="155"/>
      <c r="I581" s="239"/>
      <c r="L581" s="240"/>
      <c r="M581" s="241"/>
      <c r="N581" s="178"/>
      <c r="O581" s="242"/>
      <c r="P581" s="243"/>
    </row>
    <row r="582" spans="2:16" ht="12.75">
      <c r="B582" s="238"/>
      <c r="H582" s="155"/>
      <c r="I582" s="239"/>
      <c r="L582" s="240"/>
      <c r="M582" s="241"/>
      <c r="N582" s="178"/>
      <c r="O582" s="242"/>
      <c r="P582" s="243"/>
    </row>
    <row r="583" spans="2:16" ht="12.75">
      <c r="B583" s="238"/>
      <c r="H583" s="155"/>
      <c r="I583" s="239"/>
      <c r="L583" s="240"/>
      <c r="M583" s="241"/>
      <c r="N583" s="178"/>
      <c r="O583" s="242"/>
      <c r="P583" s="243"/>
    </row>
    <row r="584" spans="2:16" ht="12.75">
      <c r="B584" s="238"/>
      <c r="H584" s="155"/>
      <c r="I584" s="239"/>
      <c r="L584" s="240"/>
      <c r="M584" s="241"/>
      <c r="N584" s="178"/>
      <c r="O584" s="242"/>
      <c r="P584" s="243"/>
    </row>
    <row r="585" spans="2:16" ht="12.75">
      <c r="B585" s="238"/>
      <c r="H585" s="155"/>
      <c r="I585" s="239"/>
      <c r="L585" s="240"/>
      <c r="M585" s="241"/>
      <c r="N585" s="178"/>
      <c r="O585" s="242"/>
      <c r="P585" s="243"/>
    </row>
    <row r="586" spans="2:16" ht="12.75">
      <c r="B586" s="238"/>
      <c r="H586" s="155"/>
      <c r="I586" s="239"/>
      <c r="L586" s="240"/>
      <c r="M586" s="241"/>
      <c r="N586" s="178"/>
      <c r="O586" s="242"/>
      <c r="P586" s="243"/>
    </row>
    <row r="587" spans="2:16" ht="12.75">
      <c r="B587" s="238"/>
      <c r="H587" s="155"/>
      <c r="I587" s="239"/>
      <c r="L587" s="240"/>
      <c r="M587" s="241"/>
      <c r="N587" s="178"/>
      <c r="O587" s="242"/>
      <c r="P587" s="243"/>
    </row>
    <row r="588" spans="2:16" ht="12.75">
      <c r="B588" s="238"/>
      <c r="H588" s="155"/>
      <c r="I588" s="239"/>
      <c r="L588" s="240"/>
      <c r="M588" s="241"/>
      <c r="N588" s="178"/>
      <c r="O588" s="242"/>
      <c r="P588" s="243"/>
    </row>
    <row r="589" spans="2:16" ht="12.75">
      <c r="B589" s="238"/>
      <c r="H589" s="155"/>
      <c r="I589" s="239"/>
      <c r="L589" s="240"/>
      <c r="M589" s="241"/>
      <c r="N589" s="178"/>
      <c r="O589" s="242"/>
      <c r="P589" s="243"/>
    </row>
    <row r="590" spans="2:16" ht="12.75">
      <c r="B590" s="238"/>
      <c r="H590" s="155"/>
      <c r="I590" s="239"/>
      <c r="L590" s="240"/>
      <c r="M590" s="241"/>
      <c r="N590" s="178"/>
      <c r="O590" s="242"/>
      <c r="P590" s="243"/>
    </row>
    <row r="591" spans="2:16" ht="12.75">
      <c r="B591" s="238"/>
      <c r="H591" s="155"/>
      <c r="I591" s="239"/>
      <c r="L591" s="240"/>
      <c r="M591" s="241"/>
      <c r="N591" s="178"/>
      <c r="O591" s="242"/>
      <c r="P591" s="243"/>
    </row>
    <row r="592" spans="2:16" ht="12.75">
      <c r="B592" s="238"/>
      <c r="H592" s="155"/>
      <c r="I592" s="239"/>
      <c r="L592" s="240"/>
      <c r="M592" s="241"/>
      <c r="N592" s="178"/>
      <c r="O592" s="242"/>
      <c r="P592" s="243"/>
    </row>
    <row r="593" spans="2:16" ht="12.75">
      <c r="B593" s="238"/>
      <c r="H593" s="155"/>
      <c r="I593" s="239"/>
      <c r="L593" s="240"/>
      <c r="M593" s="241"/>
      <c r="N593" s="178"/>
      <c r="O593" s="242"/>
      <c r="P593" s="243"/>
    </row>
    <row r="594" spans="2:16" ht="12.75">
      <c r="B594" s="238"/>
      <c r="H594" s="155"/>
      <c r="I594" s="239"/>
      <c r="L594" s="240"/>
      <c r="M594" s="241"/>
      <c r="N594" s="178"/>
      <c r="O594" s="242"/>
      <c r="P594" s="243"/>
    </row>
    <row r="595" spans="2:16" ht="12.75">
      <c r="B595" s="238"/>
      <c r="H595" s="155"/>
      <c r="I595" s="239"/>
      <c r="L595" s="240"/>
      <c r="M595" s="241"/>
      <c r="N595" s="178"/>
      <c r="O595" s="242"/>
      <c r="P595" s="243"/>
    </row>
    <row r="596" spans="2:16" ht="12.75">
      <c r="B596" s="238"/>
      <c r="H596" s="155"/>
      <c r="I596" s="239"/>
      <c r="L596" s="240"/>
      <c r="M596" s="241"/>
      <c r="N596" s="178"/>
      <c r="O596" s="242"/>
      <c r="P596" s="243"/>
    </row>
    <row r="597" spans="2:16" ht="12.75">
      <c r="B597" s="238"/>
      <c r="H597" s="155"/>
      <c r="I597" s="239"/>
      <c r="L597" s="240"/>
      <c r="M597" s="241"/>
      <c r="N597" s="178"/>
      <c r="O597" s="242"/>
      <c r="P597" s="243"/>
    </row>
    <row r="598" spans="2:16" ht="12.75">
      <c r="B598" s="238"/>
      <c r="H598" s="155"/>
      <c r="I598" s="239"/>
      <c r="L598" s="240"/>
      <c r="M598" s="241"/>
      <c r="N598" s="178"/>
      <c r="O598" s="242"/>
      <c r="P598" s="243"/>
    </row>
    <row r="599" spans="2:16" ht="12.75">
      <c r="B599" s="238"/>
      <c r="H599" s="155"/>
      <c r="I599" s="239"/>
      <c r="L599" s="240"/>
      <c r="M599" s="241"/>
      <c r="N599" s="178"/>
      <c r="O599" s="242"/>
      <c r="P599" s="243"/>
    </row>
    <row r="600" spans="2:16" ht="12.75">
      <c r="B600" s="238"/>
      <c r="H600" s="155"/>
      <c r="I600" s="239"/>
      <c r="L600" s="240"/>
      <c r="M600" s="241"/>
      <c r="N600" s="178"/>
      <c r="O600" s="242"/>
      <c r="P600" s="243"/>
    </row>
    <row r="601" spans="2:16" ht="12.75">
      <c r="B601" s="238"/>
      <c r="H601" s="155"/>
      <c r="I601" s="239"/>
      <c r="L601" s="240"/>
      <c r="M601" s="241"/>
      <c r="N601" s="178"/>
      <c r="O601" s="242"/>
      <c r="P601" s="243"/>
    </row>
    <row r="602" spans="2:16" ht="12.75">
      <c r="B602" s="238"/>
      <c r="H602" s="155"/>
      <c r="I602" s="239"/>
      <c r="L602" s="240"/>
      <c r="M602" s="241"/>
      <c r="N602" s="178"/>
      <c r="O602" s="242"/>
      <c r="P602" s="243"/>
    </row>
    <row r="603" spans="2:16" ht="12.75">
      <c r="B603" s="238"/>
      <c r="H603" s="155"/>
      <c r="I603" s="239"/>
      <c r="L603" s="240"/>
      <c r="M603" s="241"/>
      <c r="N603" s="178"/>
      <c r="O603" s="242"/>
      <c r="P603" s="243"/>
    </row>
    <row r="604" spans="2:16" ht="12.75">
      <c r="B604" s="238"/>
      <c r="H604" s="155"/>
      <c r="I604" s="239"/>
      <c r="L604" s="240"/>
      <c r="M604" s="241"/>
      <c r="N604" s="178"/>
      <c r="O604" s="242"/>
      <c r="P604" s="243"/>
    </row>
    <row r="605" spans="2:16" ht="12.75">
      <c r="B605" s="238"/>
      <c r="H605" s="155"/>
      <c r="I605" s="239"/>
      <c r="L605" s="240"/>
      <c r="M605" s="241"/>
      <c r="N605" s="178"/>
      <c r="O605" s="242"/>
      <c r="P605" s="243"/>
    </row>
    <row r="606" spans="2:16" ht="12.75">
      <c r="B606" s="238"/>
      <c r="H606" s="155"/>
      <c r="I606" s="239"/>
      <c r="L606" s="240"/>
      <c r="M606" s="241"/>
      <c r="N606" s="178"/>
      <c r="O606" s="242"/>
      <c r="P606" s="243"/>
    </row>
    <row r="607" spans="2:16" ht="12.75">
      <c r="B607" s="238"/>
      <c r="H607" s="155"/>
      <c r="I607" s="239"/>
      <c r="L607" s="240"/>
      <c r="M607" s="241"/>
      <c r="N607" s="178"/>
      <c r="O607" s="242"/>
      <c r="P607" s="243"/>
    </row>
    <row r="608" spans="2:16" ht="12.75">
      <c r="B608" s="238"/>
      <c r="H608" s="155"/>
      <c r="I608" s="239"/>
      <c r="L608" s="240"/>
      <c r="M608" s="241"/>
      <c r="N608" s="178"/>
      <c r="O608" s="242"/>
      <c r="P608" s="243"/>
    </row>
    <row r="609" spans="2:16" ht="12.75">
      <c r="B609" s="238"/>
      <c r="H609" s="155"/>
      <c r="I609" s="239"/>
      <c r="L609" s="240"/>
      <c r="M609" s="241"/>
      <c r="N609" s="178"/>
      <c r="O609" s="242"/>
      <c r="P609" s="243"/>
    </row>
    <row r="610" spans="2:16" ht="12.75">
      <c r="B610" s="238"/>
      <c r="H610" s="155"/>
      <c r="I610" s="239"/>
      <c r="L610" s="240"/>
      <c r="M610" s="241"/>
      <c r="N610" s="178"/>
      <c r="O610" s="242"/>
      <c r="P610" s="243"/>
    </row>
    <row r="611" spans="2:16" ht="12.75">
      <c r="B611" s="238"/>
      <c r="H611" s="155"/>
      <c r="I611" s="239"/>
      <c r="L611" s="240"/>
      <c r="M611" s="241"/>
      <c r="N611" s="178"/>
      <c r="O611" s="242"/>
      <c r="P611" s="243"/>
    </row>
    <row r="612" spans="2:16" ht="12.75">
      <c r="B612" s="238"/>
      <c r="H612" s="155"/>
      <c r="I612" s="239"/>
      <c r="L612" s="240"/>
      <c r="M612" s="241"/>
      <c r="N612" s="178"/>
      <c r="O612" s="242"/>
      <c r="P612" s="243"/>
    </row>
    <row r="613" spans="2:16" ht="12.75">
      <c r="B613" s="238"/>
      <c r="H613" s="155"/>
      <c r="I613" s="239"/>
      <c r="L613" s="240"/>
      <c r="M613" s="241"/>
      <c r="N613" s="178"/>
      <c r="O613" s="242"/>
      <c r="P613" s="243"/>
    </row>
    <row r="614" spans="2:16" ht="12.75">
      <c r="B614" s="238"/>
      <c r="H614" s="155"/>
      <c r="I614" s="239"/>
      <c r="L614" s="240"/>
      <c r="M614" s="241"/>
      <c r="N614" s="178"/>
      <c r="O614" s="242"/>
      <c r="P614" s="243"/>
    </row>
    <row r="615" spans="2:16" ht="12.75">
      <c r="B615" s="238"/>
      <c r="H615" s="155"/>
      <c r="I615" s="239"/>
      <c r="L615" s="240"/>
      <c r="M615" s="241"/>
      <c r="N615" s="178"/>
      <c r="O615" s="242"/>
      <c r="P615" s="243"/>
    </row>
    <row r="616" spans="2:16" ht="12.75">
      <c r="B616" s="238"/>
      <c r="H616" s="155"/>
      <c r="I616" s="239"/>
      <c r="L616" s="240"/>
      <c r="M616" s="241"/>
      <c r="N616" s="178"/>
      <c r="O616" s="242"/>
      <c r="P616" s="243"/>
    </row>
    <row r="617" spans="2:16" ht="12.75">
      <c r="B617" s="238"/>
      <c r="H617" s="155"/>
      <c r="I617" s="239"/>
      <c r="L617" s="240"/>
      <c r="M617" s="241"/>
      <c r="N617" s="178"/>
      <c r="O617" s="242"/>
      <c r="P617" s="243"/>
    </row>
    <row r="618" spans="2:16" ht="12.75">
      <c r="B618" s="238"/>
      <c r="H618" s="155"/>
      <c r="I618" s="239"/>
      <c r="L618" s="240"/>
      <c r="M618" s="241"/>
      <c r="N618" s="178"/>
      <c r="O618" s="242"/>
      <c r="P618" s="243"/>
    </row>
    <row r="619" spans="2:16" ht="12.75">
      <c r="B619" s="238"/>
      <c r="H619" s="155"/>
      <c r="I619" s="239"/>
      <c r="L619" s="240"/>
      <c r="M619" s="241"/>
      <c r="N619" s="178"/>
      <c r="O619" s="242"/>
      <c r="P619" s="243"/>
    </row>
    <row r="620" spans="2:16" ht="12.75">
      <c r="B620" s="238"/>
      <c r="H620" s="155"/>
      <c r="I620" s="239"/>
      <c r="L620" s="240"/>
      <c r="M620" s="241"/>
      <c r="N620" s="178"/>
      <c r="O620" s="242"/>
      <c r="P620" s="243"/>
    </row>
    <row r="621" spans="2:16" ht="12.75">
      <c r="B621" s="238"/>
      <c r="H621" s="155"/>
      <c r="I621" s="239"/>
      <c r="L621" s="240"/>
      <c r="M621" s="241"/>
      <c r="N621" s="178"/>
      <c r="O621" s="242"/>
      <c r="P621" s="243"/>
    </row>
    <row r="622" spans="2:16" ht="12.75">
      <c r="B622" s="238"/>
      <c r="H622" s="155"/>
      <c r="I622" s="239"/>
      <c r="L622" s="240"/>
      <c r="M622" s="241"/>
      <c r="N622" s="178"/>
      <c r="O622" s="242"/>
      <c r="P622" s="243"/>
    </row>
    <row r="623" spans="2:16" ht="12.75">
      <c r="B623" s="238"/>
      <c r="H623" s="155"/>
      <c r="I623" s="239"/>
      <c r="L623" s="240"/>
      <c r="M623" s="241"/>
      <c r="N623" s="178"/>
      <c r="O623" s="242"/>
      <c r="P623" s="243"/>
    </row>
    <row r="624" spans="2:16" ht="12.75">
      <c r="B624" s="238"/>
      <c r="H624" s="155"/>
      <c r="I624" s="239"/>
      <c r="L624" s="240"/>
      <c r="M624" s="241"/>
      <c r="N624" s="178"/>
      <c r="O624" s="242"/>
      <c r="P624" s="243"/>
    </row>
    <row r="625" spans="2:16" ht="12.75">
      <c r="B625" s="238"/>
      <c r="H625" s="155"/>
      <c r="I625" s="239"/>
      <c r="L625" s="240"/>
      <c r="M625" s="241"/>
      <c r="N625" s="178"/>
      <c r="O625" s="242"/>
      <c r="P625" s="243"/>
    </row>
    <row r="626" spans="2:16" ht="12.75">
      <c r="B626" s="238"/>
      <c r="H626" s="155"/>
      <c r="I626" s="239"/>
      <c r="L626" s="240"/>
      <c r="M626" s="241"/>
      <c r="N626" s="178"/>
      <c r="O626" s="242"/>
      <c r="P626" s="243"/>
    </row>
    <row r="627" spans="2:16" ht="12.75">
      <c r="B627" s="238"/>
      <c r="H627" s="155"/>
      <c r="I627" s="239"/>
      <c r="L627" s="240"/>
      <c r="M627" s="241"/>
      <c r="N627" s="178"/>
      <c r="O627" s="242"/>
      <c r="P627" s="243"/>
    </row>
    <row r="628" spans="2:16" ht="12.75">
      <c r="B628" s="238"/>
      <c r="H628" s="155"/>
      <c r="I628" s="239"/>
      <c r="L628" s="240"/>
      <c r="M628" s="241"/>
      <c r="N628" s="178"/>
      <c r="O628" s="242"/>
      <c r="P628" s="243"/>
    </row>
    <row r="629" spans="2:16" ht="12.75">
      <c r="B629" s="238"/>
      <c r="H629" s="155"/>
      <c r="I629" s="239"/>
      <c r="L629" s="240"/>
      <c r="M629" s="241"/>
      <c r="N629" s="178"/>
      <c r="O629" s="242"/>
      <c r="P629" s="243"/>
    </row>
    <row r="630" spans="2:16" ht="12.75">
      <c r="B630" s="238"/>
      <c r="H630" s="155"/>
      <c r="I630" s="239"/>
      <c r="L630" s="240"/>
      <c r="M630" s="241"/>
      <c r="N630" s="178"/>
      <c r="O630" s="242"/>
      <c r="P630" s="243"/>
    </row>
    <row r="631" spans="2:16" ht="12.75">
      <c r="B631" s="238"/>
      <c r="H631" s="155"/>
      <c r="I631" s="239"/>
      <c r="L631" s="240"/>
      <c r="M631" s="241"/>
      <c r="N631" s="178"/>
      <c r="O631" s="242"/>
      <c r="P631" s="243"/>
    </row>
    <row r="632" spans="2:16" ht="12.75">
      <c r="B632" s="238"/>
      <c r="H632" s="155"/>
      <c r="I632" s="239"/>
      <c r="L632" s="240"/>
      <c r="M632" s="241"/>
      <c r="N632" s="178"/>
      <c r="O632" s="242"/>
      <c r="P632" s="243"/>
    </row>
    <row r="633" spans="2:16" ht="12.75">
      <c r="B633" s="238"/>
      <c r="H633" s="155"/>
      <c r="I633" s="239"/>
      <c r="L633" s="240"/>
      <c r="M633" s="241"/>
      <c r="N633" s="178"/>
      <c r="O633" s="242"/>
      <c r="P633" s="243"/>
    </row>
    <row r="634" spans="2:16" ht="12.75">
      <c r="B634" s="238"/>
      <c r="H634" s="155"/>
      <c r="I634" s="239"/>
      <c r="L634" s="240"/>
      <c r="M634" s="241"/>
      <c r="N634" s="178"/>
      <c r="O634" s="242"/>
      <c r="P634" s="243"/>
    </row>
    <row r="635" spans="2:16" ht="12.75">
      <c r="B635" s="238"/>
      <c r="H635" s="155"/>
      <c r="I635" s="239"/>
      <c r="L635" s="240"/>
      <c r="M635" s="241"/>
      <c r="N635" s="178"/>
      <c r="O635" s="242"/>
      <c r="P635" s="243"/>
    </row>
    <row r="636" spans="2:16" ht="12.75">
      <c r="B636" s="238"/>
      <c r="H636" s="155"/>
      <c r="I636" s="239"/>
      <c r="L636" s="240"/>
      <c r="M636" s="241"/>
      <c r="N636" s="178"/>
      <c r="O636" s="242"/>
      <c r="P636" s="243"/>
    </row>
    <row r="637" spans="2:16" ht="12.75">
      <c r="B637" s="238"/>
      <c r="H637" s="155"/>
      <c r="I637" s="239"/>
      <c r="L637" s="240"/>
      <c r="M637" s="241"/>
      <c r="N637" s="178"/>
      <c r="O637" s="242"/>
      <c r="P637" s="243"/>
    </row>
    <row r="638" spans="2:16" ht="12.75">
      <c r="B638" s="238"/>
      <c r="H638" s="155"/>
      <c r="I638" s="239"/>
      <c r="L638" s="240"/>
      <c r="M638" s="241"/>
      <c r="N638" s="178"/>
      <c r="O638" s="242"/>
      <c r="P638" s="243"/>
    </row>
    <row r="639" spans="2:16" ht="12.75">
      <c r="B639" s="238"/>
      <c r="H639" s="155"/>
      <c r="I639" s="239"/>
      <c r="L639" s="240"/>
      <c r="M639" s="241"/>
      <c r="N639" s="178"/>
      <c r="O639" s="242"/>
      <c r="P639" s="243"/>
    </row>
    <row r="640" spans="2:16" ht="12.75">
      <c r="B640" s="238"/>
      <c r="H640" s="155"/>
      <c r="I640" s="239"/>
      <c r="L640" s="240"/>
      <c r="M640" s="241"/>
      <c r="N640" s="178"/>
      <c r="O640" s="242"/>
      <c r="P640" s="243"/>
    </row>
    <row r="641" spans="2:16" ht="12.75">
      <c r="B641" s="238"/>
      <c r="H641" s="155"/>
      <c r="I641" s="239"/>
      <c r="L641" s="240"/>
      <c r="M641" s="241"/>
      <c r="N641" s="178"/>
      <c r="O641" s="242"/>
      <c r="P641" s="243"/>
    </row>
    <row r="642" spans="2:16" ht="12.75">
      <c r="B642" s="238"/>
      <c r="H642" s="155"/>
      <c r="I642" s="239"/>
      <c r="L642" s="240"/>
      <c r="M642" s="241"/>
      <c r="N642" s="178"/>
      <c r="O642" s="242"/>
      <c r="P642" s="243"/>
    </row>
    <row r="643" spans="2:16" ht="12.75">
      <c r="B643" s="238"/>
      <c r="H643" s="155"/>
      <c r="I643" s="239"/>
      <c r="L643" s="240"/>
      <c r="M643" s="241"/>
      <c r="N643" s="178"/>
      <c r="O643" s="242"/>
      <c r="P643" s="243"/>
    </row>
    <row r="644" spans="2:16" ht="12.75">
      <c r="B644" s="238"/>
      <c r="H644" s="155"/>
      <c r="I644" s="239"/>
      <c r="L644" s="240"/>
      <c r="M644" s="241"/>
      <c r="N644" s="178"/>
      <c r="O644" s="242"/>
      <c r="P644" s="243"/>
    </row>
    <row r="645" spans="2:16" ht="12.75">
      <c r="B645" s="238"/>
      <c r="H645" s="155"/>
      <c r="I645" s="239"/>
      <c r="L645" s="240"/>
      <c r="M645" s="241"/>
      <c r="N645" s="178"/>
      <c r="O645" s="242"/>
      <c r="P645" s="243"/>
    </row>
    <row r="646" spans="2:16" ht="12.75">
      <c r="B646" s="238"/>
      <c r="H646" s="155"/>
      <c r="I646" s="239"/>
      <c r="L646" s="240"/>
      <c r="M646" s="241"/>
      <c r="N646" s="178"/>
      <c r="O646" s="242"/>
      <c r="P646" s="243"/>
    </row>
    <row r="647" spans="2:16" ht="12.75">
      <c r="B647" s="238"/>
      <c r="H647" s="155"/>
      <c r="I647" s="239"/>
      <c r="L647" s="240"/>
      <c r="M647" s="241"/>
      <c r="N647" s="178"/>
      <c r="O647" s="242"/>
      <c r="P647" s="243"/>
    </row>
    <row r="648" spans="2:16" ht="12.75">
      <c r="B648" s="238"/>
      <c r="H648" s="155"/>
      <c r="I648" s="239"/>
      <c r="L648" s="240"/>
      <c r="M648" s="241"/>
      <c r="N648" s="178"/>
      <c r="O648" s="242"/>
      <c r="P648" s="243"/>
    </row>
    <row r="649" spans="2:16" ht="12.75">
      <c r="B649" s="238"/>
      <c r="H649" s="155"/>
      <c r="I649" s="239"/>
      <c r="L649" s="240"/>
      <c r="M649" s="241"/>
      <c r="N649" s="178"/>
      <c r="O649" s="242"/>
      <c r="P649" s="243"/>
    </row>
    <row r="650" spans="2:16" ht="12.75">
      <c r="B650" s="238"/>
      <c r="H650" s="155"/>
      <c r="I650" s="239"/>
      <c r="L650" s="240"/>
      <c r="M650" s="241"/>
      <c r="N650" s="178"/>
      <c r="O650" s="242"/>
      <c r="P650" s="243"/>
    </row>
    <row r="651" spans="2:16" ht="12.75">
      <c r="B651" s="238"/>
      <c r="H651" s="155"/>
      <c r="I651" s="239"/>
      <c r="L651" s="240"/>
      <c r="M651" s="241"/>
      <c r="N651" s="178"/>
      <c r="O651" s="242"/>
      <c r="P651" s="243"/>
    </row>
    <row r="652" spans="2:16" ht="12.75">
      <c r="B652" s="238"/>
      <c r="H652" s="155"/>
      <c r="I652" s="239"/>
      <c r="L652" s="240"/>
      <c r="M652" s="241"/>
      <c r="N652" s="178"/>
      <c r="O652" s="242"/>
      <c r="P652" s="243"/>
    </row>
    <row r="653" spans="2:16" ht="12.75">
      <c r="B653" s="238"/>
      <c r="H653" s="155"/>
      <c r="I653" s="239"/>
      <c r="L653" s="240"/>
      <c r="M653" s="241"/>
      <c r="N653" s="178"/>
      <c r="O653" s="242"/>
      <c r="P653" s="243"/>
    </row>
    <row r="654" spans="2:16" ht="12.75">
      <c r="B654" s="238"/>
      <c r="H654" s="155"/>
      <c r="I654" s="239"/>
      <c r="L654" s="240"/>
      <c r="M654" s="241"/>
      <c r="N654" s="178"/>
      <c r="O654" s="242"/>
      <c r="P654" s="243"/>
    </row>
    <row r="655" spans="2:16" ht="12.75">
      <c r="B655" s="238"/>
      <c r="H655" s="155"/>
      <c r="I655" s="239"/>
      <c r="L655" s="240"/>
      <c r="M655" s="241"/>
      <c r="N655" s="178"/>
      <c r="O655" s="242"/>
      <c r="P655" s="243"/>
    </row>
    <row r="656" spans="2:16" ht="12.75">
      <c r="B656" s="238"/>
      <c r="H656" s="155"/>
      <c r="I656" s="239"/>
      <c r="L656" s="240"/>
      <c r="M656" s="241"/>
      <c r="N656" s="178"/>
      <c r="O656" s="242"/>
      <c r="P656" s="243"/>
    </row>
    <row r="657" spans="2:16" ht="12.75">
      <c r="B657" s="238"/>
      <c r="H657" s="155"/>
      <c r="I657" s="239"/>
      <c r="L657" s="240"/>
      <c r="M657" s="241"/>
      <c r="N657" s="178"/>
      <c r="O657" s="242"/>
      <c r="P657" s="243"/>
    </row>
    <row r="658" spans="2:16" ht="12.75">
      <c r="B658" s="238"/>
      <c r="H658" s="155"/>
      <c r="I658" s="239"/>
      <c r="L658" s="240"/>
      <c r="M658" s="241"/>
      <c r="N658" s="178"/>
      <c r="O658" s="242"/>
      <c r="P658" s="243"/>
    </row>
    <row r="659" spans="2:16" ht="12.75">
      <c r="B659" s="238"/>
      <c r="H659" s="155"/>
      <c r="I659" s="239"/>
      <c r="L659" s="240"/>
      <c r="M659" s="241"/>
      <c r="N659" s="178"/>
      <c r="O659" s="242"/>
      <c r="P659" s="243"/>
    </row>
    <row r="660" spans="2:16" ht="12.75">
      <c r="B660" s="238"/>
      <c r="H660" s="155"/>
      <c r="I660" s="239"/>
      <c r="L660" s="240"/>
      <c r="M660" s="241"/>
      <c r="N660" s="178"/>
      <c r="O660" s="242"/>
      <c r="P660" s="243"/>
    </row>
    <row r="661" spans="2:16" ht="12.75">
      <c r="B661" s="238"/>
      <c r="H661" s="155"/>
      <c r="I661" s="239"/>
      <c r="L661" s="240"/>
      <c r="M661" s="241"/>
      <c r="N661" s="178"/>
      <c r="O661" s="242"/>
      <c r="P661" s="243"/>
    </row>
    <row r="662" spans="2:16" ht="12.75">
      <c r="B662" s="238"/>
      <c r="H662" s="155"/>
      <c r="I662" s="239"/>
      <c r="L662" s="240"/>
      <c r="M662" s="241"/>
      <c r="N662" s="178"/>
      <c r="O662" s="242"/>
      <c r="P662" s="243"/>
    </row>
    <row r="663" spans="2:16" ht="12.75">
      <c r="B663" s="238"/>
      <c r="H663" s="155"/>
      <c r="I663" s="239"/>
      <c r="L663" s="240"/>
      <c r="M663" s="241"/>
      <c r="N663" s="178"/>
      <c r="O663" s="242"/>
      <c r="P663" s="243"/>
    </row>
    <row r="664" spans="2:16" ht="12.75">
      <c r="B664" s="238"/>
      <c r="H664" s="155"/>
      <c r="I664" s="239"/>
      <c r="L664" s="240"/>
      <c r="M664" s="241"/>
      <c r="N664" s="178"/>
      <c r="O664" s="242"/>
      <c r="P664" s="243"/>
    </row>
    <row r="665" spans="2:16" ht="12.75">
      <c r="B665" s="238"/>
      <c r="H665" s="155"/>
      <c r="I665" s="239"/>
      <c r="L665" s="240"/>
      <c r="M665" s="241"/>
      <c r="N665" s="178"/>
      <c r="O665" s="242"/>
      <c r="P665" s="243"/>
    </row>
    <row r="666" spans="2:16" ht="12.75">
      <c r="B666" s="238"/>
      <c r="H666" s="155"/>
      <c r="I666" s="239"/>
      <c r="L666" s="240"/>
      <c r="M666" s="241"/>
      <c r="N666" s="178"/>
      <c r="O666" s="242"/>
      <c r="P666" s="243"/>
    </row>
    <row r="667" spans="2:16" ht="12.75">
      <c r="B667" s="238"/>
      <c r="H667" s="155"/>
      <c r="I667" s="239"/>
      <c r="L667" s="240"/>
      <c r="M667" s="241"/>
      <c r="N667" s="178"/>
      <c r="O667" s="242"/>
      <c r="P667" s="243"/>
    </row>
    <row r="668" spans="2:16" ht="12.75">
      <c r="B668" s="238"/>
      <c r="H668" s="155"/>
      <c r="I668" s="239"/>
      <c r="L668" s="240"/>
      <c r="M668" s="241"/>
      <c r="N668" s="178"/>
      <c r="O668" s="242"/>
      <c r="P668" s="243"/>
    </row>
    <row r="669" spans="2:16" ht="12.75">
      <c r="B669" s="238"/>
      <c r="H669" s="155"/>
      <c r="I669" s="239"/>
      <c r="L669" s="240"/>
      <c r="M669" s="241"/>
      <c r="N669" s="178"/>
      <c r="O669" s="242"/>
      <c r="P669" s="243"/>
    </row>
    <row r="670" spans="2:16" ht="12.75">
      <c r="B670" s="238"/>
      <c r="H670" s="155"/>
      <c r="I670" s="239"/>
      <c r="L670" s="240"/>
      <c r="M670" s="241"/>
      <c r="N670" s="178"/>
      <c r="O670" s="242"/>
      <c r="P670" s="243"/>
    </row>
    <row r="671" spans="2:16" ht="12.75">
      <c r="B671" s="238"/>
      <c r="H671" s="155"/>
      <c r="I671" s="239"/>
      <c r="L671" s="240"/>
      <c r="M671" s="241"/>
      <c r="N671" s="178"/>
      <c r="O671" s="242"/>
      <c r="P671" s="243"/>
    </row>
    <row r="672" spans="2:16" ht="12.75">
      <c r="B672" s="238"/>
      <c r="H672" s="155"/>
      <c r="I672" s="239"/>
      <c r="L672" s="240"/>
      <c r="M672" s="241"/>
      <c r="N672" s="178"/>
      <c r="O672" s="242"/>
      <c r="P672" s="243"/>
    </row>
    <row r="673" spans="2:16" ht="12.75">
      <c r="B673" s="238"/>
      <c r="H673" s="155"/>
      <c r="I673" s="239"/>
      <c r="L673" s="240"/>
      <c r="M673" s="241"/>
      <c r="N673" s="178"/>
      <c r="O673" s="242"/>
      <c r="P673" s="243"/>
    </row>
    <row r="674" spans="2:16" ht="12.75">
      <c r="B674" s="238"/>
      <c r="H674" s="155"/>
      <c r="I674" s="239"/>
      <c r="L674" s="240"/>
      <c r="M674" s="241"/>
      <c r="N674" s="178"/>
      <c r="O674" s="242"/>
      <c r="P674" s="243"/>
    </row>
    <row r="675" spans="2:16" ht="12.75">
      <c r="B675" s="238"/>
      <c r="H675" s="155"/>
      <c r="I675" s="239"/>
      <c r="L675" s="240"/>
      <c r="M675" s="241"/>
      <c r="N675" s="178"/>
      <c r="O675" s="242"/>
      <c r="P675" s="243"/>
    </row>
    <row r="676" spans="2:16" ht="12.75">
      <c r="B676" s="238"/>
      <c r="H676" s="155"/>
      <c r="I676" s="239"/>
      <c r="L676" s="240"/>
      <c r="M676" s="241"/>
      <c r="N676" s="178"/>
      <c r="O676" s="242"/>
      <c r="P676" s="243"/>
    </row>
    <row r="677" spans="2:16" ht="12.75">
      <c r="B677" s="238"/>
      <c r="H677" s="155"/>
      <c r="I677" s="239"/>
      <c r="L677" s="240"/>
      <c r="M677" s="241"/>
      <c r="N677" s="178"/>
      <c r="O677" s="242"/>
      <c r="P677" s="243"/>
    </row>
    <row r="678" spans="2:16" ht="12.75">
      <c r="B678" s="238"/>
      <c r="H678" s="155"/>
      <c r="I678" s="239"/>
      <c r="L678" s="240"/>
      <c r="M678" s="241"/>
      <c r="N678" s="178"/>
      <c r="O678" s="242"/>
      <c r="P678" s="243"/>
    </row>
    <row r="679" spans="2:16" ht="12.75">
      <c r="B679" s="238"/>
      <c r="H679" s="155"/>
      <c r="I679" s="239"/>
      <c r="L679" s="240"/>
      <c r="M679" s="241"/>
      <c r="N679" s="178"/>
      <c r="O679" s="242"/>
      <c r="P679" s="243"/>
    </row>
    <row r="680" spans="2:16" ht="12.75">
      <c r="B680" s="238"/>
      <c r="H680" s="155"/>
      <c r="I680" s="239"/>
      <c r="L680" s="240"/>
      <c r="M680" s="241"/>
      <c r="N680" s="178"/>
      <c r="O680" s="242"/>
      <c r="P680" s="243"/>
    </row>
    <row r="681" spans="2:16" ht="12.75">
      <c r="B681" s="238"/>
      <c r="H681" s="155"/>
      <c r="I681" s="239"/>
      <c r="L681" s="240"/>
      <c r="M681" s="241"/>
      <c r="N681" s="178"/>
      <c r="O681" s="242"/>
      <c r="P681" s="243"/>
    </row>
    <row r="682" spans="2:16" ht="12.75">
      <c r="B682" s="238"/>
      <c r="H682" s="155"/>
      <c r="I682" s="239"/>
      <c r="L682" s="240"/>
      <c r="M682" s="241"/>
      <c r="N682" s="178"/>
      <c r="O682" s="242"/>
      <c r="P682" s="243"/>
    </row>
    <row r="683" spans="2:16" ht="12.75">
      <c r="B683" s="238"/>
      <c r="H683" s="155"/>
      <c r="I683" s="239"/>
      <c r="L683" s="240"/>
      <c r="M683" s="241"/>
      <c r="N683" s="178"/>
      <c r="O683" s="242"/>
      <c r="P683" s="243"/>
    </row>
    <row r="684" spans="2:16" ht="12.75">
      <c r="B684" s="238"/>
      <c r="H684" s="155"/>
      <c r="I684" s="239"/>
      <c r="L684" s="240"/>
      <c r="M684" s="241"/>
      <c r="N684" s="178"/>
      <c r="O684" s="242"/>
      <c r="P684" s="243"/>
    </row>
    <row r="685" spans="2:16" ht="12.75">
      <c r="B685" s="238"/>
      <c r="H685" s="155"/>
      <c r="I685" s="239"/>
      <c r="L685" s="240"/>
      <c r="M685" s="241"/>
      <c r="N685" s="178"/>
      <c r="O685" s="242"/>
      <c r="P685" s="243"/>
    </row>
    <row r="686" spans="2:16" ht="12.75">
      <c r="B686" s="238"/>
      <c r="H686" s="155"/>
      <c r="I686" s="239"/>
      <c r="L686" s="240"/>
      <c r="M686" s="241"/>
      <c r="N686" s="178"/>
      <c r="O686" s="242"/>
      <c r="P686" s="243"/>
    </row>
    <row r="687" spans="2:16" ht="12.75">
      <c r="B687" s="238"/>
      <c r="H687" s="155"/>
      <c r="I687" s="239"/>
      <c r="L687" s="240"/>
      <c r="M687" s="241"/>
      <c r="N687" s="178"/>
      <c r="O687" s="242"/>
      <c r="P687" s="243"/>
    </row>
    <row r="688" spans="2:16" ht="12.75">
      <c r="B688" s="238"/>
      <c r="H688" s="155"/>
      <c r="I688" s="239"/>
      <c r="L688" s="240"/>
      <c r="M688" s="241"/>
      <c r="N688" s="178"/>
      <c r="O688" s="242"/>
      <c r="P688" s="243"/>
    </row>
    <row r="689" spans="2:16" ht="12.75">
      <c r="B689" s="238"/>
      <c r="H689" s="155"/>
      <c r="I689" s="239"/>
      <c r="L689" s="240"/>
      <c r="M689" s="241"/>
      <c r="N689" s="178"/>
      <c r="O689" s="242"/>
      <c r="P689" s="243"/>
    </row>
    <row r="690" spans="2:16" ht="12.75">
      <c r="B690" s="238"/>
      <c r="H690" s="155"/>
      <c r="I690" s="239"/>
      <c r="L690" s="240"/>
      <c r="M690" s="241"/>
      <c r="N690" s="178"/>
      <c r="O690" s="242"/>
      <c r="P690" s="243"/>
    </row>
    <row r="691" spans="2:16" ht="12.75">
      <c r="B691" s="238"/>
      <c r="H691" s="155"/>
      <c r="I691" s="239"/>
      <c r="L691" s="240"/>
      <c r="M691" s="241"/>
      <c r="N691" s="178"/>
      <c r="O691" s="242"/>
      <c r="P691" s="243"/>
    </row>
    <row r="692" spans="2:16" ht="12.75">
      <c r="B692" s="238"/>
      <c r="H692" s="155"/>
      <c r="I692" s="239"/>
      <c r="L692" s="240"/>
      <c r="M692" s="241"/>
      <c r="N692" s="178"/>
      <c r="O692" s="242"/>
      <c r="P692" s="243"/>
    </row>
    <row r="693" spans="2:16" ht="12.75">
      <c r="B693" s="238"/>
      <c r="H693" s="155"/>
      <c r="I693" s="239"/>
      <c r="L693" s="240"/>
      <c r="M693" s="241"/>
      <c r="N693" s="178"/>
      <c r="O693" s="242"/>
      <c r="P693" s="243"/>
    </row>
    <row r="694" spans="2:16" ht="12.75">
      <c r="B694" s="238"/>
      <c r="H694" s="155"/>
      <c r="I694" s="239"/>
      <c r="L694" s="240"/>
      <c r="M694" s="241"/>
      <c r="N694" s="178"/>
      <c r="O694" s="242"/>
      <c r="P694" s="243"/>
    </row>
    <row r="695" spans="2:16" ht="12.75">
      <c r="B695" s="238"/>
      <c r="H695" s="155"/>
      <c r="I695" s="239"/>
      <c r="L695" s="240"/>
      <c r="M695" s="241"/>
      <c r="N695" s="178"/>
      <c r="O695" s="242"/>
      <c r="P695" s="243"/>
    </row>
    <row r="696" spans="2:16" ht="12.75">
      <c r="B696" s="238"/>
      <c r="H696" s="155"/>
      <c r="I696" s="239"/>
      <c r="L696" s="240"/>
      <c r="M696" s="241"/>
      <c r="N696" s="178"/>
      <c r="O696" s="242"/>
      <c r="P696" s="243"/>
    </row>
    <row r="697" spans="2:16" ht="12.75">
      <c r="B697" s="238"/>
      <c r="H697" s="155"/>
      <c r="I697" s="239"/>
      <c r="L697" s="240"/>
      <c r="M697" s="241"/>
      <c r="N697" s="178"/>
      <c r="O697" s="242"/>
      <c r="P697" s="243"/>
    </row>
    <row r="698" spans="2:16" ht="12.75">
      <c r="B698" s="238"/>
      <c r="H698" s="155"/>
      <c r="I698" s="239"/>
      <c r="L698" s="240"/>
      <c r="M698" s="241"/>
      <c r="N698" s="178"/>
      <c r="O698" s="242"/>
      <c r="P698" s="243"/>
    </row>
    <row r="699" spans="2:16" ht="12.75">
      <c r="B699" s="238"/>
      <c r="H699" s="155"/>
      <c r="I699" s="239"/>
      <c r="L699" s="240"/>
      <c r="M699" s="241"/>
      <c r="N699" s="178"/>
      <c r="O699" s="242"/>
      <c r="P699" s="243"/>
    </row>
    <row r="700" spans="2:16" ht="12.75">
      <c r="B700" s="238"/>
      <c r="H700" s="155"/>
      <c r="I700" s="239"/>
      <c r="L700" s="240"/>
      <c r="M700" s="241"/>
      <c r="N700" s="178"/>
      <c r="O700" s="242"/>
      <c r="P700" s="243"/>
    </row>
    <row r="701" spans="2:16" ht="12.75">
      <c r="B701" s="238"/>
      <c r="H701" s="155"/>
      <c r="I701" s="239"/>
      <c r="L701" s="240"/>
      <c r="M701" s="241"/>
      <c r="N701" s="178"/>
      <c r="O701" s="242"/>
      <c r="P701" s="243"/>
    </row>
    <row r="702" spans="2:16" ht="12.75">
      <c r="B702" s="238"/>
      <c r="H702" s="155"/>
      <c r="I702" s="239"/>
      <c r="L702" s="240"/>
      <c r="M702" s="241"/>
      <c r="N702" s="178"/>
      <c r="O702" s="242"/>
      <c r="P702" s="243"/>
    </row>
    <row r="703" spans="2:16" ht="12.75">
      <c r="B703" s="238"/>
      <c r="H703" s="155"/>
      <c r="I703" s="239"/>
      <c r="L703" s="240"/>
      <c r="M703" s="241"/>
      <c r="N703" s="178"/>
      <c r="O703" s="242"/>
      <c r="P703" s="243"/>
    </row>
    <row r="704" spans="2:16" ht="12.75">
      <c r="B704" s="238"/>
      <c r="H704" s="155"/>
      <c r="I704" s="239"/>
      <c r="L704" s="240"/>
      <c r="M704" s="241"/>
      <c r="N704" s="178"/>
      <c r="O704" s="242"/>
      <c r="P704" s="243"/>
    </row>
    <row r="705" spans="2:16" ht="12.75">
      <c r="B705" s="238"/>
      <c r="H705" s="155"/>
      <c r="I705" s="239"/>
      <c r="L705" s="240"/>
      <c r="M705" s="241"/>
      <c r="N705" s="178"/>
      <c r="O705" s="242"/>
      <c r="P705" s="243"/>
    </row>
    <row r="706" spans="2:16" ht="12.75">
      <c r="B706" s="238"/>
      <c r="H706" s="155"/>
      <c r="I706" s="239"/>
      <c r="L706" s="240"/>
      <c r="M706" s="241"/>
      <c r="N706" s="178"/>
      <c r="O706" s="242"/>
      <c r="P706" s="243"/>
    </row>
    <row r="707" spans="2:16" ht="12.75">
      <c r="B707" s="238"/>
      <c r="H707" s="155"/>
      <c r="I707" s="239"/>
      <c r="L707" s="240"/>
      <c r="M707" s="241"/>
      <c r="N707" s="178"/>
      <c r="O707" s="242"/>
      <c r="P707" s="243"/>
    </row>
    <row r="708" spans="2:16" ht="12.75">
      <c r="B708" s="238"/>
      <c r="H708" s="155"/>
      <c r="I708" s="239"/>
      <c r="L708" s="240"/>
      <c r="M708" s="241"/>
      <c r="N708" s="178"/>
      <c r="O708" s="242"/>
      <c r="P708" s="243"/>
    </row>
    <row r="709" spans="2:16" ht="12.75">
      <c r="B709" s="238"/>
      <c r="H709" s="155"/>
      <c r="I709" s="239"/>
      <c r="L709" s="240"/>
      <c r="M709" s="241"/>
      <c r="N709" s="178"/>
      <c r="O709" s="242"/>
      <c r="P709" s="243"/>
    </row>
    <row r="710" spans="2:16" ht="12.75">
      <c r="B710" s="238"/>
      <c r="H710" s="155"/>
      <c r="I710" s="239"/>
      <c r="L710" s="240"/>
      <c r="M710" s="241"/>
      <c r="N710" s="178"/>
      <c r="O710" s="242"/>
      <c r="P710" s="243"/>
    </row>
    <row r="711" spans="2:16" ht="12.75">
      <c r="B711" s="238"/>
      <c r="H711" s="155"/>
      <c r="I711" s="239"/>
      <c r="L711" s="240"/>
      <c r="M711" s="241"/>
      <c r="N711" s="178"/>
      <c r="O711" s="242"/>
      <c r="P711" s="243"/>
    </row>
    <row r="712" spans="2:16" ht="12.75">
      <c r="B712" s="238"/>
      <c r="H712" s="155"/>
      <c r="I712" s="239"/>
      <c r="L712" s="240"/>
      <c r="M712" s="241"/>
      <c r="N712" s="178"/>
      <c r="O712" s="242"/>
      <c r="P712" s="243"/>
    </row>
    <row r="713" spans="2:16" ht="12.75">
      <c r="B713" s="238"/>
      <c r="H713" s="155"/>
      <c r="I713" s="239"/>
      <c r="L713" s="240"/>
      <c r="M713" s="241"/>
      <c r="N713" s="178"/>
      <c r="O713" s="242"/>
      <c r="P713" s="243"/>
    </row>
    <row r="714" spans="2:16" ht="12.75">
      <c r="B714" s="238"/>
      <c r="H714" s="155"/>
      <c r="I714" s="239"/>
      <c r="L714" s="240"/>
      <c r="M714" s="241"/>
      <c r="N714" s="178"/>
      <c r="O714" s="242"/>
      <c r="P714" s="243"/>
    </row>
    <row r="715" spans="2:16" ht="12.75">
      <c r="B715" s="238"/>
      <c r="H715" s="155"/>
      <c r="I715" s="239"/>
      <c r="L715" s="240"/>
      <c r="M715" s="241"/>
      <c r="N715" s="178"/>
      <c r="O715" s="242"/>
      <c r="P715" s="243"/>
    </row>
    <row r="716" spans="2:16" ht="12.75">
      <c r="B716" s="238"/>
      <c r="H716" s="155"/>
      <c r="I716" s="239"/>
      <c r="L716" s="240"/>
      <c r="M716" s="241"/>
      <c r="N716" s="178"/>
      <c r="O716" s="242"/>
      <c r="P716" s="243"/>
    </row>
    <row r="717" spans="2:16" ht="12.75">
      <c r="B717" s="238"/>
      <c r="H717" s="155"/>
      <c r="I717" s="239"/>
      <c r="L717" s="240"/>
      <c r="M717" s="241"/>
      <c r="N717" s="178"/>
      <c r="O717" s="242"/>
      <c r="P717" s="243"/>
    </row>
    <row r="718" spans="2:16" ht="12.75">
      <c r="B718" s="238"/>
      <c r="H718" s="155"/>
      <c r="I718" s="239"/>
      <c r="L718" s="240"/>
      <c r="M718" s="241"/>
      <c r="N718" s="178"/>
      <c r="O718" s="242"/>
      <c r="P718" s="243"/>
    </row>
    <row r="719" spans="2:16" ht="12.75">
      <c r="B719" s="238"/>
      <c r="H719" s="155"/>
      <c r="I719" s="239"/>
      <c r="L719" s="240"/>
      <c r="M719" s="241"/>
      <c r="N719" s="178"/>
      <c r="O719" s="242"/>
      <c r="P719" s="243"/>
    </row>
    <row r="720" spans="2:16" ht="12.75">
      <c r="B720" s="238"/>
      <c r="H720" s="155"/>
      <c r="I720" s="239"/>
      <c r="L720" s="240"/>
      <c r="M720" s="241"/>
      <c r="N720" s="178"/>
      <c r="O720" s="242"/>
      <c r="P720" s="243"/>
    </row>
    <row r="721" spans="2:16" ht="12.75">
      <c r="B721" s="238"/>
      <c r="H721" s="155"/>
      <c r="I721" s="239"/>
      <c r="L721" s="240"/>
      <c r="M721" s="241"/>
      <c r="N721" s="178"/>
      <c r="O721" s="242"/>
      <c r="P721" s="243"/>
    </row>
    <row r="722" spans="2:16" ht="12.75">
      <c r="B722" s="238"/>
      <c r="H722" s="155"/>
      <c r="I722" s="239"/>
      <c r="L722" s="240"/>
      <c r="M722" s="241"/>
      <c r="N722" s="178"/>
      <c r="O722" s="242"/>
      <c r="P722" s="243"/>
    </row>
    <row r="723" spans="2:16" ht="12.75">
      <c r="B723" s="238"/>
      <c r="H723" s="155"/>
      <c r="I723" s="239"/>
      <c r="L723" s="240"/>
      <c r="M723" s="241"/>
      <c r="N723" s="178"/>
      <c r="O723" s="242"/>
      <c r="P723" s="243"/>
    </row>
    <row r="724" spans="2:16" ht="12.75">
      <c r="B724" s="238"/>
      <c r="H724" s="155"/>
      <c r="I724" s="239"/>
      <c r="L724" s="240"/>
      <c r="M724" s="241"/>
      <c r="N724" s="178"/>
      <c r="O724" s="242"/>
      <c r="P724" s="243"/>
    </row>
    <row r="725" spans="2:16" ht="12.75">
      <c r="B725" s="238"/>
      <c r="H725" s="155"/>
      <c r="I725" s="239"/>
      <c r="L725" s="240"/>
      <c r="M725" s="241"/>
      <c r="N725" s="178"/>
      <c r="O725" s="242"/>
      <c r="P725" s="243"/>
    </row>
    <row r="726" spans="2:16" ht="12.75">
      <c r="B726" s="238"/>
      <c r="H726" s="155"/>
      <c r="I726" s="239"/>
      <c r="L726" s="240"/>
      <c r="M726" s="241"/>
      <c r="N726" s="178"/>
      <c r="O726" s="242"/>
      <c r="P726" s="243"/>
    </row>
    <row r="727" spans="2:16" ht="12.75">
      <c r="B727" s="238"/>
      <c r="H727" s="155"/>
      <c r="I727" s="239"/>
      <c r="L727" s="240"/>
      <c r="M727" s="241"/>
      <c r="N727" s="178"/>
      <c r="O727" s="242"/>
      <c r="P727" s="243"/>
    </row>
    <row r="728" spans="2:16" ht="12.75">
      <c r="B728" s="238"/>
      <c r="H728" s="155"/>
      <c r="I728" s="239"/>
      <c r="L728" s="240"/>
      <c r="M728" s="241"/>
      <c r="N728" s="178"/>
      <c r="O728" s="242"/>
      <c r="P728" s="243"/>
    </row>
    <row r="729" spans="2:16" ht="12.75">
      <c r="B729" s="238"/>
      <c r="H729" s="155"/>
      <c r="I729" s="239"/>
      <c r="L729" s="240"/>
      <c r="M729" s="241"/>
      <c r="N729" s="178"/>
      <c r="O729" s="242"/>
      <c r="P729" s="243"/>
    </row>
    <row r="730" spans="2:16" ht="12.75">
      <c r="B730" s="238"/>
      <c r="H730" s="155"/>
      <c r="I730" s="239"/>
      <c r="L730" s="240"/>
      <c r="M730" s="241"/>
      <c r="N730" s="178"/>
      <c r="O730" s="242"/>
      <c r="P730" s="243"/>
    </row>
    <row r="731" spans="2:16" ht="12.75">
      <c r="B731" s="238"/>
      <c r="H731" s="155"/>
      <c r="I731" s="239"/>
      <c r="L731" s="240"/>
      <c r="M731" s="241"/>
      <c r="N731" s="178"/>
      <c r="O731" s="242"/>
      <c r="P731" s="243"/>
    </row>
    <row r="732" spans="2:16" ht="12.75">
      <c r="B732" s="238"/>
      <c r="H732" s="155"/>
      <c r="I732" s="239"/>
      <c r="L732" s="240"/>
      <c r="M732" s="241"/>
      <c r="N732" s="178"/>
      <c r="O732" s="242"/>
      <c r="P732" s="243"/>
    </row>
    <row r="733" spans="2:16" ht="12.75">
      <c r="B733" s="238"/>
      <c r="H733" s="155"/>
      <c r="I733" s="239"/>
      <c r="L733" s="240"/>
      <c r="M733" s="241"/>
      <c r="N733" s="178"/>
      <c r="O733" s="242"/>
      <c r="P733" s="243"/>
    </row>
    <row r="734" spans="2:16" ht="12.75">
      <c r="B734" s="238"/>
      <c r="H734" s="155"/>
      <c r="I734" s="239"/>
      <c r="L734" s="240"/>
      <c r="M734" s="241"/>
      <c r="N734" s="178"/>
      <c r="O734" s="242"/>
      <c r="P734" s="243"/>
    </row>
    <row r="735" spans="2:16" ht="12.75">
      <c r="B735" s="238"/>
      <c r="H735" s="155"/>
      <c r="I735" s="239"/>
      <c r="L735" s="240"/>
      <c r="M735" s="241"/>
      <c r="N735" s="178"/>
      <c r="O735" s="242"/>
      <c r="P735" s="243"/>
    </row>
    <row r="736" spans="2:16" ht="12.75">
      <c r="B736" s="238"/>
      <c r="H736" s="155"/>
      <c r="I736" s="239"/>
      <c r="L736" s="240"/>
      <c r="M736" s="241"/>
      <c r="N736" s="178"/>
      <c r="O736" s="242"/>
      <c r="P736" s="243"/>
    </row>
    <row r="737" spans="2:16" ht="12.75">
      <c r="B737" s="238"/>
      <c r="H737" s="155"/>
      <c r="I737" s="239"/>
      <c r="L737" s="240"/>
      <c r="M737" s="241"/>
      <c r="N737" s="178"/>
      <c r="O737" s="242"/>
      <c r="P737" s="243"/>
    </row>
    <row r="738" spans="2:16" ht="12.75">
      <c r="B738" s="238"/>
      <c r="H738" s="155"/>
      <c r="I738" s="239"/>
      <c r="L738" s="240"/>
      <c r="M738" s="241"/>
      <c r="N738" s="178"/>
      <c r="O738" s="242"/>
      <c r="P738" s="243"/>
    </row>
    <row r="739" spans="2:16" ht="12.75">
      <c r="B739" s="238"/>
      <c r="H739" s="155"/>
      <c r="I739" s="239"/>
      <c r="L739" s="240"/>
      <c r="M739" s="241"/>
      <c r="N739" s="178"/>
      <c r="O739" s="242"/>
      <c r="P739" s="243"/>
    </row>
    <row r="740" spans="2:16" ht="12.75">
      <c r="B740" s="238"/>
      <c r="H740" s="155"/>
      <c r="I740" s="239"/>
      <c r="L740" s="240"/>
      <c r="M740" s="241"/>
      <c r="N740" s="178"/>
      <c r="O740" s="242"/>
      <c r="P740" s="243"/>
    </row>
    <row r="741" spans="2:16" ht="12.75">
      <c r="B741" s="238"/>
      <c r="H741" s="155"/>
      <c r="I741" s="239"/>
      <c r="L741" s="240"/>
      <c r="M741" s="241"/>
      <c r="N741" s="178"/>
      <c r="O741" s="242"/>
      <c r="P741" s="243"/>
    </row>
    <row r="742" spans="2:16" ht="12.75">
      <c r="B742" s="238"/>
      <c r="H742" s="155"/>
      <c r="I742" s="239"/>
      <c r="L742" s="240"/>
      <c r="M742" s="241"/>
      <c r="N742" s="178"/>
      <c r="O742" s="242"/>
      <c r="P742" s="243"/>
    </row>
    <row r="743" spans="2:16" ht="12.75">
      <c r="B743" s="238"/>
      <c r="H743" s="155"/>
      <c r="I743" s="239"/>
      <c r="L743" s="240"/>
      <c r="M743" s="241"/>
      <c r="N743" s="178"/>
      <c r="O743" s="242"/>
      <c r="P743" s="243"/>
    </row>
    <row r="744" spans="2:16" ht="12.75">
      <c r="B744" s="238"/>
      <c r="H744" s="155"/>
      <c r="I744" s="239"/>
      <c r="L744" s="240"/>
      <c r="M744" s="241"/>
      <c r="N744" s="178"/>
      <c r="O744" s="242"/>
      <c r="P744" s="243"/>
    </row>
    <row r="745" spans="2:16" ht="12.75">
      <c r="B745" s="238"/>
      <c r="H745" s="155"/>
      <c r="I745" s="239"/>
      <c r="L745" s="240"/>
      <c r="M745" s="241"/>
      <c r="N745" s="178"/>
      <c r="O745" s="242"/>
      <c r="P745" s="243"/>
    </row>
    <row r="746" spans="2:16" ht="12.75">
      <c r="B746" s="238"/>
      <c r="H746" s="155"/>
      <c r="I746" s="239"/>
      <c r="L746" s="240"/>
      <c r="M746" s="241"/>
      <c r="N746" s="178"/>
      <c r="O746" s="242"/>
      <c r="P746" s="243"/>
    </row>
    <row r="747" spans="2:16" ht="12.75">
      <c r="B747" s="238"/>
      <c r="H747" s="155"/>
      <c r="I747" s="239"/>
      <c r="L747" s="240"/>
      <c r="M747" s="241"/>
      <c r="N747" s="178"/>
      <c r="O747" s="242"/>
      <c r="P747" s="243"/>
    </row>
    <row r="748" spans="2:16" ht="12.75">
      <c r="B748" s="238"/>
      <c r="H748" s="155"/>
      <c r="I748" s="239"/>
      <c r="L748" s="240"/>
      <c r="M748" s="241"/>
      <c r="N748" s="178"/>
      <c r="O748" s="242"/>
      <c r="P748" s="243"/>
    </row>
    <row r="749" spans="2:16" ht="12.75">
      <c r="B749" s="238"/>
      <c r="H749" s="155"/>
      <c r="I749" s="239"/>
      <c r="L749" s="240"/>
      <c r="M749" s="241"/>
      <c r="N749" s="178"/>
      <c r="O749" s="242"/>
      <c r="P749" s="243"/>
    </row>
    <row r="750" spans="2:16" ht="12.75">
      <c r="B750" s="238"/>
      <c r="H750" s="155"/>
      <c r="I750" s="239"/>
      <c r="L750" s="240"/>
      <c r="M750" s="241"/>
      <c r="N750" s="178"/>
      <c r="O750" s="242"/>
      <c r="P750" s="243"/>
    </row>
    <row r="751" spans="2:16" ht="12.75">
      <c r="B751" s="238"/>
      <c r="H751" s="155"/>
      <c r="I751" s="239"/>
      <c r="L751" s="240"/>
      <c r="M751" s="241"/>
      <c r="N751" s="178"/>
      <c r="O751" s="242"/>
      <c r="P751" s="243"/>
    </row>
    <row r="752" spans="2:16" ht="12.75">
      <c r="B752" s="238"/>
      <c r="H752" s="155"/>
      <c r="I752" s="239"/>
      <c r="L752" s="240"/>
      <c r="M752" s="241"/>
      <c r="N752" s="178"/>
      <c r="O752" s="242"/>
      <c r="P752" s="243"/>
    </row>
    <row r="753" spans="2:16" ht="12.75">
      <c r="B753" s="238"/>
      <c r="H753" s="155"/>
      <c r="I753" s="239"/>
      <c r="L753" s="240"/>
      <c r="M753" s="241"/>
      <c r="N753" s="178"/>
      <c r="O753" s="242"/>
      <c r="P753" s="243"/>
    </row>
    <row r="754" spans="2:16" ht="12.75">
      <c r="B754" s="238"/>
      <c r="H754" s="155"/>
      <c r="I754" s="239"/>
      <c r="L754" s="240"/>
      <c r="M754" s="241"/>
      <c r="N754" s="178"/>
      <c r="O754" s="242"/>
      <c r="P754" s="243"/>
    </row>
    <row r="755" spans="2:16" ht="12.75">
      <c r="B755" s="238"/>
      <c r="H755" s="155"/>
      <c r="I755" s="239"/>
      <c r="L755" s="240"/>
      <c r="M755" s="241"/>
      <c r="N755" s="178"/>
      <c r="O755" s="242"/>
      <c r="P755" s="243"/>
    </row>
    <row r="756" spans="2:16" ht="12.75">
      <c r="B756" s="238"/>
      <c r="H756" s="155"/>
      <c r="I756" s="239"/>
      <c r="L756" s="240"/>
      <c r="M756" s="241"/>
      <c r="N756" s="178"/>
      <c r="O756" s="242"/>
      <c r="P756" s="243"/>
    </row>
    <row r="757" spans="2:16" ht="12.75">
      <c r="B757" s="238"/>
      <c r="H757" s="155"/>
      <c r="I757" s="239"/>
      <c r="L757" s="240"/>
      <c r="M757" s="241"/>
      <c r="N757" s="178"/>
      <c r="O757" s="242"/>
      <c r="P757" s="243"/>
    </row>
    <row r="758" spans="2:16" ht="12.75">
      <c r="B758" s="238"/>
      <c r="H758" s="155"/>
      <c r="I758" s="239"/>
      <c r="L758" s="240"/>
      <c r="M758" s="241"/>
      <c r="N758" s="178"/>
      <c r="O758" s="242"/>
      <c r="P758" s="243"/>
    </row>
    <row r="759" spans="2:16" ht="12.75">
      <c r="B759" s="238"/>
      <c r="H759" s="155"/>
      <c r="I759" s="239"/>
      <c r="L759" s="240"/>
      <c r="M759" s="241"/>
      <c r="N759" s="178"/>
      <c r="O759" s="242"/>
      <c r="P759" s="243"/>
    </row>
    <row r="760" spans="2:16" ht="12.75">
      <c r="B760" s="238"/>
      <c r="H760" s="155"/>
      <c r="I760" s="239"/>
      <c r="L760" s="240"/>
      <c r="M760" s="241"/>
      <c r="N760" s="178"/>
      <c r="O760" s="242"/>
      <c r="P760" s="243"/>
    </row>
    <row r="761" spans="2:16" ht="12.75">
      <c r="B761" s="238"/>
      <c r="H761" s="155"/>
      <c r="I761" s="239"/>
      <c r="L761" s="240"/>
      <c r="M761" s="241"/>
      <c r="N761" s="178"/>
      <c r="O761" s="242"/>
      <c r="P761" s="243"/>
    </row>
    <row r="762" spans="2:16" ht="12.75">
      <c r="B762" s="238"/>
      <c r="H762" s="155"/>
      <c r="I762" s="239"/>
      <c r="L762" s="240"/>
      <c r="M762" s="241"/>
      <c r="N762" s="178"/>
      <c r="O762" s="242"/>
      <c r="P762" s="243"/>
    </row>
    <row r="763" spans="2:16" ht="12.75">
      <c r="B763" s="238"/>
      <c r="H763" s="155"/>
      <c r="I763" s="239"/>
      <c r="L763" s="240"/>
      <c r="M763" s="241"/>
      <c r="N763" s="178"/>
      <c r="O763" s="242"/>
      <c r="P763" s="243"/>
    </row>
    <row r="764" spans="2:16" ht="12.75">
      <c r="B764" s="238"/>
      <c r="H764" s="155"/>
      <c r="I764" s="239"/>
      <c r="L764" s="240"/>
      <c r="M764" s="241"/>
      <c r="N764" s="178"/>
      <c r="O764" s="242"/>
      <c r="P764" s="243"/>
    </row>
    <row r="765" spans="2:16" ht="12.75">
      <c r="B765" s="238"/>
      <c r="H765" s="155"/>
      <c r="I765" s="239"/>
      <c r="L765" s="240"/>
      <c r="M765" s="241"/>
      <c r="N765" s="178"/>
      <c r="O765" s="242"/>
      <c r="P765" s="243"/>
    </row>
    <row r="766" spans="2:16" ht="12.75">
      <c r="B766" s="238"/>
      <c r="H766" s="155"/>
      <c r="I766" s="239"/>
      <c r="L766" s="240"/>
      <c r="M766" s="241"/>
      <c r="N766" s="178"/>
      <c r="O766" s="242"/>
      <c r="P766" s="243"/>
    </row>
    <row r="767" spans="2:16" ht="12.75">
      <c r="B767" s="238"/>
      <c r="H767" s="155"/>
      <c r="I767" s="239"/>
      <c r="L767" s="240"/>
      <c r="M767" s="241"/>
      <c r="N767" s="178"/>
      <c r="O767" s="242"/>
      <c r="P767" s="243"/>
    </row>
    <row r="768" spans="2:16" ht="12.75">
      <c r="B768" s="238"/>
      <c r="H768" s="155"/>
      <c r="I768" s="239"/>
      <c r="L768" s="240"/>
      <c r="M768" s="241"/>
      <c r="N768" s="178"/>
      <c r="O768" s="242"/>
      <c r="P768" s="243"/>
    </row>
    <row r="769" spans="2:16" ht="12.75">
      <c r="B769" s="238"/>
      <c r="H769" s="155"/>
      <c r="I769" s="239"/>
      <c r="L769" s="240"/>
      <c r="M769" s="241"/>
      <c r="N769" s="178"/>
      <c r="O769" s="242"/>
      <c r="P769" s="243"/>
    </row>
    <row r="770" spans="2:16" ht="12.75">
      <c r="B770" s="238"/>
      <c r="H770" s="155"/>
      <c r="I770" s="239"/>
      <c r="L770" s="240"/>
      <c r="M770" s="241"/>
      <c r="N770" s="178"/>
      <c r="O770" s="242"/>
      <c r="P770" s="243"/>
    </row>
    <row r="771" spans="2:16" ht="12.75">
      <c r="B771" s="238"/>
      <c r="H771" s="155"/>
      <c r="I771" s="239"/>
      <c r="L771" s="240"/>
      <c r="M771" s="241"/>
      <c r="N771" s="178"/>
      <c r="O771" s="242"/>
      <c r="P771" s="243"/>
    </row>
    <row r="772" spans="2:16" ht="12.75">
      <c r="B772" s="238"/>
      <c r="H772" s="155"/>
      <c r="I772" s="239"/>
      <c r="L772" s="240"/>
      <c r="M772" s="241"/>
      <c r="N772" s="178"/>
      <c r="O772" s="242"/>
      <c r="P772" s="243"/>
    </row>
    <row r="773" spans="2:16" ht="12.75">
      <c r="B773" s="238"/>
      <c r="H773" s="155"/>
      <c r="I773" s="239"/>
      <c r="L773" s="240"/>
      <c r="M773" s="241"/>
      <c r="N773" s="178"/>
      <c r="O773" s="242"/>
      <c r="P773" s="243"/>
    </row>
    <row r="774" spans="2:16" ht="12.75">
      <c r="B774" s="238"/>
      <c r="H774" s="155"/>
      <c r="I774" s="239"/>
      <c r="L774" s="240"/>
      <c r="M774" s="241"/>
      <c r="N774" s="178"/>
      <c r="O774" s="242"/>
      <c r="P774" s="243"/>
    </row>
    <row r="775" spans="2:16" ht="12.75">
      <c r="B775" s="238"/>
      <c r="H775" s="155"/>
      <c r="I775" s="239"/>
      <c r="L775" s="240"/>
      <c r="M775" s="241"/>
      <c r="N775" s="178"/>
      <c r="O775" s="242"/>
      <c r="P775" s="243"/>
    </row>
    <row r="776" spans="2:16" ht="12.75">
      <c r="B776" s="238"/>
      <c r="H776" s="155"/>
      <c r="I776" s="239"/>
      <c r="L776" s="240"/>
      <c r="M776" s="241"/>
      <c r="N776" s="178"/>
      <c r="O776" s="242"/>
      <c r="P776" s="243"/>
    </row>
    <row r="777" spans="2:16" ht="12.75">
      <c r="B777" s="238"/>
      <c r="H777" s="155"/>
      <c r="I777" s="239"/>
      <c r="L777" s="240"/>
      <c r="M777" s="241"/>
      <c r="N777" s="178"/>
      <c r="O777" s="242"/>
      <c r="P777" s="243"/>
    </row>
    <row r="778" spans="2:16" ht="12.75">
      <c r="B778" s="238"/>
      <c r="H778" s="155"/>
      <c r="I778" s="239"/>
      <c r="L778" s="240"/>
      <c r="M778" s="241"/>
      <c r="N778" s="178"/>
      <c r="O778" s="242"/>
      <c r="P778" s="243"/>
    </row>
    <row r="779" spans="2:16" ht="12.75">
      <c r="B779" s="238"/>
      <c r="H779" s="155"/>
      <c r="I779" s="239"/>
      <c r="L779" s="240"/>
      <c r="M779" s="241"/>
      <c r="N779" s="178"/>
      <c r="O779" s="242"/>
      <c r="P779" s="243"/>
    </row>
    <row r="780" spans="2:16" ht="12.75">
      <c r="B780" s="238"/>
      <c r="H780" s="155"/>
      <c r="I780" s="239"/>
      <c r="L780" s="240"/>
      <c r="M780" s="241"/>
      <c r="N780" s="178"/>
      <c r="O780" s="242"/>
      <c r="P780" s="243"/>
    </row>
    <row r="781" spans="2:16" ht="12.75">
      <c r="B781" s="238"/>
      <c r="H781" s="155"/>
      <c r="I781" s="239"/>
      <c r="L781" s="240"/>
      <c r="M781" s="241"/>
      <c r="N781" s="178"/>
      <c r="O781" s="242"/>
      <c r="P781" s="243"/>
    </row>
    <row r="782" spans="2:16" ht="12.75">
      <c r="B782" s="238"/>
      <c r="H782" s="155"/>
      <c r="I782" s="239"/>
      <c r="L782" s="240"/>
      <c r="M782" s="241"/>
      <c r="N782" s="178"/>
      <c r="O782" s="242"/>
      <c r="P782" s="243"/>
    </row>
    <row r="783" spans="2:16" ht="12.75">
      <c r="B783" s="238"/>
      <c r="H783" s="155"/>
      <c r="I783" s="239"/>
      <c r="L783" s="240"/>
      <c r="M783" s="241"/>
      <c r="N783" s="178"/>
      <c r="O783" s="242"/>
      <c r="P783" s="243"/>
    </row>
    <row r="784" spans="2:16" ht="12.75">
      <c r="B784" s="238"/>
      <c r="H784" s="155"/>
      <c r="I784" s="239"/>
      <c r="L784" s="240"/>
      <c r="M784" s="241"/>
      <c r="N784" s="178"/>
      <c r="O784" s="242"/>
      <c r="P784" s="243"/>
    </row>
    <row r="785" spans="2:16" ht="12.75">
      <c r="B785" s="238"/>
      <c r="H785" s="155"/>
      <c r="I785" s="239"/>
      <c r="L785" s="240"/>
      <c r="M785" s="241"/>
      <c r="N785" s="178"/>
      <c r="O785" s="242"/>
      <c r="P785" s="243"/>
    </row>
    <row r="786" spans="2:16" ht="12.75">
      <c r="B786" s="238"/>
      <c r="H786" s="155"/>
      <c r="I786" s="239"/>
      <c r="L786" s="240"/>
      <c r="M786" s="241"/>
      <c r="N786" s="178"/>
      <c r="O786" s="242"/>
      <c r="P786" s="243"/>
    </row>
    <row r="787" spans="2:16" ht="12.75">
      <c r="B787" s="238"/>
      <c r="H787" s="155"/>
      <c r="I787" s="239"/>
      <c r="L787" s="240"/>
      <c r="M787" s="241"/>
      <c r="N787" s="178"/>
      <c r="O787" s="242"/>
      <c r="P787" s="243"/>
    </row>
    <row r="788" spans="2:16" ht="12.75">
      <c r="B788" s="238"/>
      <c r="H788" s="155"/>
      <c r="I788" s="239"/>
      <c r="L788" s="240"/>
      <c r="M788" s="241"/>
      <c r="N788" s="178"/>
      <c r="O788" s="242"/>
      <c r="P788" s="243"/>
    </row>
    <row r="789" spans="2:16" ht="12.75">
      <c r="B789" s="238"/>
      <c r="H789" s="155"/>
      <c r="I789" s="239"/>
      <c r="L789" s="240"/>
      <c r="M789" s="241"/>
      <c r="N789" s="178"/>
      <c r="O789" s="242"/>
      <c r="P789" s="243"/>
    </row>
    <row r="790" spans="2:16" ht="12.75">
      <c r="B790" s="238"/>
      <c r="H790" s="155"/>
      <c r="I790" s="239"/>
      <c r="L790" s="240"/>
      <c r="M790" s="241"/>
      <c r="N790" s="178"/>
      <c r="O790" s="242"/>
      <c r="P790" s="243"/>
    </row>
    <row r="791" spans="2:16" ht="12.75">
      <c r="B791" s="238"/>
      <c r="H791" s="155"/>
      <c r="I791" s="239"/>
      <c r="L791" s="240"/>
      <c r="M791" s="241"/>
      <c r="N791" s="178"/>
      <c r="O791" s="242"/>
      <c r="P791" s="243"/>
    </row>
    <row r="792" spans="2:16" ht="12.75">
      <c r="B792" s="238"/>
      <c r="H792" s="155"/>
      <c r="I792" s="239"/>
      <c r="L792" s="240"/>
      <c r="M792" s="241"/>
      <c r="N792" s="178"/>
      <c r="O792" s="242"/>
      <c r="P792" s="243"/>
    </row>
    <row r="793" spans="2:16" ht="12.75">
      <c r="B793" s="238"/>
      <c r="H793" s="155"/>
      <c r="I793" s="239"/>
      <c r="L793" s="240"/>
      <c r="M793" s="241"/>
      <c r="N793" s="178"/>
      <c r="O793" s="242"/>
      <c r="P793" s="243"/>
    </row>
    <row r="794" spans="2:16" ht="12.75">
      <c r="B794" s="238"/>
      <c r="H794" s="155"/>
      <c r="I794" s="239"/>
      <c r="L794" s="240"/>
      <c r="M794" s="241"/>
      <c r="N794" s="178"/>
      <c r="O794" s="242"/>
      <c r="P794" s="243"/>
    </row>
    <row r="795" spans="2:16" ht="12.75">
      <c r="B795" s="238"/>
      <c r="H795" s="155"/>
      <c r="I795" s="239"/>
      <c r="L795" s="240"/>
      <c r="M795" s="241"/>
      <c r="N795" s="178"/>
      <c r="O795" s="242"/>
      <c r="P795" s="243"/>
    </row>
    <row r="796" spans="2:16" ht="12.75">
      <c r="B796" s="238"/>
      <c r="H796" s="155"/>
      <c r="I796" s="239"/>
      <c r="L796" s="240"/>
      <c r="M796" s="241"/>
      <c r="N796" s="178"/>
      <c r="O796" s="242"/>
      <c r="P796" s="243"/>
    </row>
    <row r="797" spans="2:16" ht="12.75">
      <c r="B797" s="238"/>
      <c r="H797" s="155"/>
      <c r="I797" s="239"/>
      <c r="L797" s="240"/>
      <c r="M797" s="241"/>
      <c r="N797" s="178"/>
      <c r="O797" s="242"/>
      <c r="P797" s="243"/>
    </row>
    <row r="798" spans="2:16" ht="12.75">
      <c r="B798" s="238"/>
      <c r="H798" s="155"/>
      <c r="I798" s="239"/>
      <c r="L798" s="240"/>
      <c r="M798" s="241"/>
      <c r="N798" s="178"/>
      <c r="O798" s="242"/>
      <c r="P798" s="243"/>
    </row>
    <row r="799" spans="2:16" ht="12.75">
      <c r="B799" s="238"/>
      <c r="H799" s="155"/>
      <c r="I799" s="239"/>
      <c r="L799" s="240"/>
      <c r="M799" s="241"/>
      <c r="N799" s="178"/>
      <c r="O799" s="242"/>
      <c r="P799" s="243"/>
    </row>
    <row r="800" spans="2:16" ht="12.75">
      <c r="B800" s="238"/>
      <c r="H800" s="155"/>
      <c r="I800" s="239"/>
      <c r="L800" s="240"/>
      <c r="M800" s="241"/>
      <c r="N800" s="178"/>
      <c r="O800" s="242"/>
      <c r="P800" s="243"/>
    </row>
    <row r="801" spans="2:16" ht="12.75">
      <c r="B801" s="238"/>
      <c r="H801" s="155"/>
      <c r="I801" s="239"/>
      <c r="L801" s="240"/>
      <c r="M801" s="241"/>
      <c r="N801" s="178"/>
      <c r="O801" s="242"/>
      <c r="P801" s="243"/>
    </row>
    <row r="802" spans="2:16" ht="12.75">
      <c r="B802" s="238"/>
      <c r="H802" s="155"/>
      <c r="I802" s="239"/>
      <c r="L802" s="240"/>
      <c r="M802" s="241"/>
      <c r="N802" s="178"/>
      <c r="O802" s="242"/>
      <c r="P802" s="243"/>
    </row>
    <row r="803" spans="2:16" ht="12.75">
      <c r="B803" s="238"/>
      <c r="H803" s="155"/>
      <c r="I803" s="239"/>
      <c r="L803" s="240"/>
      <c r="M803" s="241"/>
      <c r="N803" s="178"/>
      <c r="O803" s="242"/>
      <c r="P803" s="243"/>
    </row>
    <row r="804" spans="2:16" ht="12.75">
      <c r="B804" s="238"/>
      <c r="H804" s="155"/>
      <c r="I804" s="239"/>
      <c r="L804" s="240"/>
      <c r="M804" s="241"/>
      <c r="N804" s="178"/>
      <c r="O804" s="242"/>
      <c r="P804" s="243"/>
    </row>
    <row r="805" spans="2:16" ht="12.75">
      <c r="B805" s="238"/>
      <c r="H805" s="155"/>
      <c r="I805" s="239"/>
      <c r="L805" s="240"/>
      <c r="M805" s="241"/>
      <c r="N805" s="178"/>
      <c r="O805" s="242"/>
      <c r="P805" s="243"/>
    </row>
    <row r="806" spans="2:16" ht="12.75">
      <c r="B806" s="238"/>
      <c r="H806" s="155"/>
      <c r="I806" s="239"/>
      <c r="L806" s="240"/>
      <c r="M806" s="241"/>
      <c r="N806" s="178"/>
      <c r="O806" s="242"/>
      <c r="P806" s="243"/>
    </row>
    <row r="807" spans="2:16" ht="12.75">
      <c r="B807" s="238"/>
      <c r="H807" s="155"/>
      <c r="I807" s="239"/>
      <c r="L807" s="240"/>
      <c r="M807" s="241"/>
      <c r="N807" s="178"/>
      <c r="O807" s="242"/>
      <c r="P807" s="243"/>
    </row>
    <row r="808" spans="2:16" ht="12.75">
      <c r="B808" s="238"/>
      <c r="H808" s="155"/>
      <c r="I808" s="239"/>
      <c r="L808" s="240"/>
      <c r="M808" s="241"/>
      <c r="N808" s="178"/>
      <c r="O808" s="242"/>
      <c r="P808" s="243"/>
    </row>
    <row r="809" spans="2:16" ht="12.75">
      <c r="B809" s="238"/>
      <c r="H809" s="155"/>
      <c r="I809" s="239"/>
      <c r="L809" s="240"/>
      <c r="M809" s="241"/>
      <c r="N809" s="178"/>
      <c r="O809" s="242"/>
      <c r="P809" s="243"/>
    </row>
    <row r="810" spans="2:16" ht="12.75">
      <c r="B810" s="238"/>
      <c r="H810" s="155"/>
      <c r="I810" s="239"/>
      <c r="L810" s="240"/>
      <c r="M810" s="241"/>
      <c r="N810" s="178"/>
      <c r="O810" s="242"/>
      <c r="P810" s="243"/>
    </row>
    <row r="811" spans="2:16" ht="12.75">
      <c r="B811" s="238"/>
      <c r="H811" s="155"/>
      <c r="I811" s="239"/>
      <c r="L811" s="240"/>
      <c r="M811" s="241"/>
      <c r="N811" s="178"/>
      <c r="O811" s="242"/>
      <c r="P811" s="243"/>
    </row>
    <row r="812" spans="2:16" ht="12.75">
      <c r="B812" s="238"/>
      <c r="H812" s="155"/>
      <c r="I812" s="239"/>
      <c r="L812" s="240"/>
      <c r="M812" s="241"/>
      <c r="N812" s="178"/>
      <c r="O812" s="242"/>
      <c r="P812" s="243"/>
    </row>
    <row r="813" spans="2:16" ht="12.75">
      <c r="B813" s="238"/>
      <c r="H813" s="155"/>
      <c r="I813" s="239"/>
      <c r="L813" s="240"/>
      <c r="M813" s="241"/>
      <c r="N813" s="178"/>
      <c r="O813" s="242"/>
      <c r="P813" s="243"/>
    </row>
    <row r="814" spans="2:16" ht="12.75">
      <c r="B814" s="238"/>
      <c r="H814" s="155"/>
      <c r="I814" s="239"/>
      <c r="L814" s="240"/>
      <c r="M814" s="241"/>
      <c r="N814" s="178"/>
      <c r="O814" s="242"/>
      <c r="P814" s="243"/>
    </row>
    <row r="815" spans="2:16" ht="12.75">
      <c r="B815" s="238"/>
      <c r="H815" s="155"/>
      <c r="I815" s="239"/>
      <c r="L815" s="240"/>
      <c r="M815" s="241"/>
      <c r="N815" s="178"/>
      <c r="O815" s="242"/>
      <c r="P815" s="243"/>
    </row>
    <row r="816" spans="2:16" ht="12.75">
      <c r="B816" s="238"/>
      <c r="H816" s="155"/>
      <c r="I816" s="239"/>
      <c r="L816" s="240"/>
      <c r="M816" s="241"/>
      <c r="N816" s="178"/>
      <c r="O816" s="242"/>
      <c r="P816" s="243"/>
    </row>
    <row r="817" spans="2:16" ht="12.75">
      <c r="B817" s="238"/>
      <c r="H817" s="155"/>
      <c r="I817" s="239"/>
      <c r="L817" s="240"/>
      <c r="M817" s="241"/>
      <c r="N817" s="178"/>
      <c r="O817" s="242"/>
      <c r="P817" s="243"/>
    </row>
    <row r="818" spans="2:16" ht="12.75">
      <c r="B818" s="238"/>
      <c r="H818" s="155"/>
      <c r="I818" s="239"/>
      <c r="L818" s="240"/>
      <c r="M818" s="241"/>
      <c r="N818" s="178"/>
      <c r="O818" s="242"/>
      <c r="P818" s="243"/>
    </row>
    <row r="819" spans="2:16" ht="12.75">
      <c r="B819" s="238"/>
      <c r="H819" s="155"/>
      <c r="I819" s="239"/>
      <c r="L819" s="240"/>
      <c r="M819" s="241"/>
      <c r="N819" s="178"/>
      <c r="O819" s="242"/>
      <c r="P819" s="243"/>
    </row>
    <row r="820" spans="2:16" ht="12.75">
      <c r="B820" s="238"/>
      <c r="H820" s="155"/>
      <c r="I820" s="239"/>
      <c r="L820" s="240"/>
      <c r="M820" s="241"/>
      <c r="N820" s="178"/>
      <c r="O820" s="242"/>
      <c r="P820" s="243"/>
    </row>
    <row r="821" spans="2:16" ht="12.75">
      <c r="B821" s="238"/>
      <c r="H821" s="155"/>
      <c r="I821" s="239"/>
      <c r="L821" s="240"/>
      <c r="M821" s="241"/>
      <c r="N821" s="178"/>
      <c r="O821" s="242"/>
      <c r="P821" s="243"/>
    </row>
    <row r="822" spans="2:16" ht="12.75">
      <c r="B822" s="238"/>
      <c r="H822" s="155"/>
      <c r="I822" s="239"/>
      <c r="L822" s="240"/>
      <c r="M822" s="241"/>
      <c r="N822" s="178"/>
      <c r="O822" s="242"/>
      <c r="P822" s="243"/>
    </row>
    <row r="823" spans="2:16" ht="12.75">
      <c r="B823" s="238"/>
      <c r="H823" s="155"/>
      <c r="I823" s="239"/>
      <c r="L823" s="240"/>
      <c r="M823" s="241"/>
      <c r="N823" s="178"/>
      <c r="O823" s="242"/>
      <c r="P823" s="243"/>
    </row>
    <row r="824" spans="2:16" ht="12.75">
      <c r="B824" s="238"/>
      <c r="H824" s="155"/>
      <c r="I824" s="239"/>
      <c r="L824" s="240"/>
      <c r="M824" s="241"/>
      <c r="N824" s="178"/>
      <c r="O824" s="242"/>
      <c r="P824" s="243"/>
    </row>
    <row r="825" spans="2:16" ht="12.75">
      <c r="B825" s="238"/>
      <c r="H825" s="155"/>
      <c r="I825" s="239"/>
      <c r="L825" s="240"/>
      <c r="M825" s="241"/>
      <c r="N825" s="178"/>
      <c r="O825" s="242"/>
      <c r="P825" s="243"/>
    </row>
    <row r="826" spans="2:16" ht="12.75">
      <c r="B826" s="238"/>
      <c r="H826" s="155"/>
      <c r="I826" s="239"/>
      <c r="L826" s="240"/>
      <c r="M826" s="241"/>
      <c r="N826" s="178"/>
      <c r="O826" s="242"/>
      <c r="P826" s="243"/>
    </row>
    <row r="827" spans="2:16" ht="12.75">
      <c r="B827" s="238"/>
      <c r="H827" s="155"/>
      <c r="I827" s="239"/>
      <c r="L827" s="240"/>
      <c r="M827" s="241"/>
      <c r="N827" s="178"/>
      <c r="O827" s="242"/>
      <c r="P827" s="243"/>
    </row>
    <row r="828" spans="2:16" ht="12.75">
      <c r="B828" s="238"/>
      <c r="H828" s="155"/>
      <c r="I828" s="239"/>
      <c r="L828" s="240"/>
      <c r="M828" s="241"/>
      <c r="N828" s="178"/>
      <c r="O828" s="242"/>
      <c r="P828" s="243"/>
    </row>
    <row r="829" spans="2:16" ht="12.75">
      <c r="B829" s="238"/>
      <c r="H829" s="155"/>
      <c r="I829" s="239"/>
      <c r="L829" s="240"/>
      <c r="M829" s="241"/>
      <c r="N829" s="178"/>
      <c r="O829" s="242"/>
      <c r="P829" s="243"/>
    </row>
    <row r="830" spans="2:16" ht="12.75">
      <c r="B830" s="238"/>
      <c r="H830" s="155"/>
      <c r="I830" s="239"/>
      <c r="L830" s="240"/>
      <c r="M830" s="241"/>
      <c r="N830" s="178"/>
      <c r="O830" s="242"/>
      <c r="P830" s="243"/>
    </row>
    <row r="831" spans="2:16" ht="12.75">
      <c r="B831" s="238"/>
      <c r="H831" s="155"/>
      <c r="I831" s="239"/>
      <c r="L831" s="240"/>
      <c r="M831" s="241"/>
      <c r="N831" s="178"/>
      <c r="O831" s="242"/>
      <c r="P831" s="243"/>
    </row>
    <row r="832" spans="2:16" ht="12.75">
      <c r="B832" s="238"/>
      <c r="H832" s="155"/>
      <c r="I832" s="239"/>
      <c r="L832" s="240"/>
      <c r="M832" s="241"/>
      <c r="N832" s="178"/>
      <c r="O832" s="242"/>
      <c r="P832" s="243"/>
    </row>
    <row r="833" spans="2:16" ht="12.75">
      <c r="B833" s="238"/>
      <c r="H833" s="155"/>
      <c r="I833" s="239"/>
      <c r="L833" s="240"/>
      <c r="M833" s="241"/>
      <c r="N833" s="178"/>
      <c r="O833" s="242"/>
      <c r="P833" s="243"/>
    </row>
    <row r="834" spans="2:16" ht="12.75">
      <c r="B834" s="238"/>
      <c r="H834" s="155"/>
      <c r="I834" s="239"/>
      <c r="L834" s="240"/>
      <c r="M834" s="241"/>
      <c r="N834" s="178"/>
      <c r="O834" s="242"/>
      <c r="P834" s="243"/>
    </row>
    <row r="835" spans="2:16" ht="12.75">
      <c r="B835" s="238"/>
      <c r="H835" s="155"/>
      <c r="I835" s="239"/>
      <c r="L835" s="240"/>
      <c r="M835" s="241"/>
      <c r="N835" s="178"/>
      <c r="O835" s="242"/>
      <c r="P835" s="243"/>
    </row>
    <row r="836" spans="2:16" ht="12.75">
      <c r="B836" s="238"/>
      <c r="H836" s="155"/>
      <c r="I836" s="239"/>
      <c r="L836" s="240"/>
      <c r="M836" s="241"/>
      <c r="N836" s="178"/>
      <c r="O836" s="242"/>
      <c r="P836" s="243"/>
    </row>
    <row r="837" spans="2:16" ht="12.75">
      <c r="B837" s="238"/>
      <c r="H837" s="155"/>
      <c r="I837" s="239"/>
      <c r="L837" s="240"/>
      <c r="M837" s="241"/>
      <c r="N837" s="178"/>
      <c r="O837" s="242"/>
      <c r="P837" s="243"/>
    </row>
    <row r="838" spans="2:16" ht="12.75">
      <c r="B838" s="238"/>
      <c r="H838" s="155"/>
      <c r="I838" s="239"/>
      <c r="L838" s="240"/>
      <c r="M838" s="241"/>
      <c r="N838" s="178"/>
      <c r="O838" s="242"/>
      <c r="P838" s="243"/>
    </row>
    <row r="839" spans="2:16" ht="12.75">
      <c r="B839" s="238"/>
      <c r="H839" s="155"/>
      <c r="I839" s="239"/>
      <c r="L839" s="240"/>
      <c r="M839" s="241"/>
      <c r="N839" s="178"/>
      <c r="O839" s="242"/>
      <c r="P839" s="243"/>
    </row>
    <row r="840" spans="2:16" ht="12.75">
      <c r="B840" s="238"/>
      <c r="H840" s="155"/>
      <c r="I840" s="239"/>
      <c r="L840" s="240"/>
      <c r="M840" s="241"/>
      <c r="N840" s="178"/>
      <c r="O840" s="242"/>
      <c r="P840" s="243"/>
    </row>
    <row r="841" spans="2:16" ht="12.75">
      <c r="B841" s="238"/>
      <c r="H841" s="155"/>
      <c r="I841" s="239"/>
      <c r="L841" s="240"/>
      <c r="M841" s="241"/>
      <c r="N841" s="178"/>
      <c r="O841" s="242"/>
      <c r="P841" s="243"/>
    </row>
    <row r="842" spans="2:16" ht="12.75">
      <c r="B842" s="238"/>
      <c r="H842" s="155"/>
      <c r="I842" s="239"/>
      <c r="L842" s="240"/>
      <c r="M842" s="241"/>
      <c r="N842" s="178"/>
      <c r="O842" s="242"/>
      <c r="P842" s="243"/>
    </row>
    <row r="843" spans="2:16" ht="12.75">
      <c r="B843" s="238"/>
      <c r="H843" s="155"/>
      <c r="I843" s="239"/>
      <c r="L843" s="240"/>
      <c r="M843" s="241"/>
      <c r="N843" s="178"/>
      <c r="O843" s="242"/>
      <c r="P843" s="243"/>
    </row>
    <row r="844" spans="2:16" ht="12.75">
      <c r="B844" s="238"/>
      <c r="H844" s="155"/>
      <c r="I844" s="239"/>
      <c r="L844" s="240"/>
      <c r="M844" s="241"/>
      <c r="N844" s="178"/>
      <c r="O844" s="242"/>
      <c r="P844" s="243"/>
    </row>
    <row r="845" spans="2:16" ht="12.75">
      <c r="B845" s="238"/>
      <c r="H845" s="155"/>
      <c r="I845" s="239"/>
      <c r="L845" s="240"/>
      <c r="M845" s="241"/>
      <c r="N845" s="178"/>
      <c r="O845" s="242"/>
      <c r="P845" s="243"/>
    </row>
    <row r="846" spans="2:16" ht="12.75">
      <c r="B846" s="238"/>
      <c r="H846" s="155"/>
      <c r="I846" s="239"/>
      <c r="L846" s="240"/>
      <c r="M846" s="241"/>
      <c r="N846" s="178"/>
      <c r="O846" s="242"/>
      <c r="P846" s="243"/>
    </row>
    <row r="847" spans="2:16" ht="12.75">
      <c r="B847" s="238"/>
      <c r="H847" s="155"/>
      <c r="I847" s="239"/>
      <c r="L847" s="240"/>
      <c r="M847" s="241"/>
      <c r="N847" s="178"/>
      <c r="O847" s="242"/>
      <c r="P847" s="243"/>
    </row>
    <row r="848" spans="2:16" ht="12.75">
      <c r="B848" s="238"/>
      <c r="H848" s="155"/>
      <c r="I848" s="239"/>
      <c r="L848" s="240"/>
      <c r="M848" s="241"/>
      <c r="N848" s="178"/>
      <c r="O848" s="242"/>
      <c r="P848" s="243"/>
    </row>
    <row r="849" spans="2:16" ht="12.75">
      <c r="B849" s="238"/>
      <c r="H849" s="155"/>
      <c r="I849" s="239"/>
      <c r="L849" s="240"/>
      <c r="M849" s="241"/>
      <c r="N849" s="178"/>
      <c r="O849" s="242"/>
      <c r="P849" s="243"/>
    </row>
    <row r="850" spans="2:16" ht="12.75">
      <c r="B850" s="238"/>
      <c r="H850" s="155"/>
      <c r="I850" s="239"/>
      <c r="L850" s="240"/>
      <c r="M850" s="241"/>
      <c r="N850" s="178"/>
      <c r="O850" s="242"/>
      <c r="P850" s="243"/>
    </row>
    <row r="851" spans="2:16" ht="12.75">
      <c r="B851" s="238"/>
      <c r="H851" s="155"/>
      <c r="I851" s="239"/>
      <c r="L851" s="240"/>
      <c r="M851" s="241"/>
      <c r="N851" s="178"/>
      <c r="O851" s="242"/>
      <c r="P851" s="243"/>
    </row>
    <row r="852" spans="2:16" ht="12.75">
      <c r="B852" s="238"/>
      <c r="H852" s="155"/>
      <c r="I852" s="239"/>
      <c r="L852" s="240"/>
      <c r="M852" s="241"/>
      <c r="N852" s="178"/>
      <c r="O852" s="242"/>
      <c r="P852" s="243"/>
    </row>
    <row r="853" spans="2:16" ht="12.75">
      <c r="B853" s="238"/>
      <c r="H853" s="155"/>
      <c r="I853" s="239"/>
      <c r="L853" s="240"/>
      <c r="M853" s="241"/>
      <c r="N853" s="178"/>
      <c r="O853" s="242"/>
      <c r="P853" s="243"/>
    </row>
    <row r="854" spans="2:16" ht="12.75">
      <c r="B854" s="238"/>
      <c r="H854" s="155"/>
      <c r="I854" s="239"/>
      <c r="L854" s="240"/>
      <c r="M854" s="241"/>
      <c r="N854" s="178"/>
      <c r="O854" s="242"/>
      <c r="P854" s="243"/>
    </row>
    <row r="855" spans="2:16" ht="12.75">
      <c r="B855" s="238"/>
      <c r="H855" s="155"/>
      <c r="I855" s="239"/>
      <c r="L855" s="240"/>
      <c r="M855" s="241"/>
      <c r="N855" s="178"/>
      <c r="O855" s="242"/>
      <c r="P855" s="243"/>
    </row>
    <row r="856" spans="2:16" ht="12.75">
      <c r="B856" s="238"/>
      <c r="H856" s="155"/>
      <c r="I856" s="239"/>
      <c r="L856" s="240"/>
      <c r="M856" s="241"/>
      <c r="N856" s="178"/>
      <c r="O856" s="242"/>
      <c r="P856" s="243"/>
    </row>
    <row r="857" spans="2:16" ht="12.75">
      <c r="B857" s="238"/>
      <c r="H857" s="155"/>
      <c r="I857" s="239"/>
      <c r="L857" s="240"/>
      <c r="M857" s="241"/>
      <c r="N857" s="178"/>
      <c r="O857" s="242"/>
      <c r="P857" s="243"/>
    </row>
    <row r="858" spans="2:16" ht="12.75">
      <c r="B858" s="238"/>
      <c r="H858" s="155"/>
      <c r="I858" s="239"/>
      <c r="L858" s="240"/>
      <c r="M858" s="241"/>
      <c r="N858" s="178"/>
      <c r="O858" s="242"/>
      <c r="P858" s="243"/>
    </row>
    <row r="859" spans="2:16" ht="12.75">
      <c r="B859" s="238"/>
      <c r="H859" s="155"/>
      <c r="I859" s="239"/>
      <c r="L859" s="240"/>
      <c r="M859" s="241"/>
      <c r="N859" s="178"/>
      <c r="O859" s="242"/>
      <c r="P859" s="243"/>
    </row>
    <row r="860" spans="2:16" ht="12.75">
      <c r="B860" s="238"/>
      <c r="H860" s="155"/>
      <c r="I860" s="239"/>
      <c r="L860" s="240"/>
      <c r="M860" s="241"/>
      <c r="N860" s="178"/>
      <c r="O860" s="242"/>
      <c r="P860" s="243"/>
    </row>
    <row r="861" spans="2:16" ht="12.75">
      <c r="B861" s="238"/>
      <c r="H861" s="155"/>
      <c r="I861" s="239"/>
      <c r="L861" s="240"/>
      <c r="M861" s="241"/>
      <c r="N861" s="178"/>
      <c r="O861" s="242"/>
      <c r="P861" s="243"/>
    </row>
    <row r="862" spans="2:16" ht="12.75">
      <c r="B862" s="238"/>
      <c r="H862" s="155"/>
      <c r="I862" s="239"/>
      <c r="L862" s="240"/>
      <c r="M862" s="241"/>
      <c r="N862" s="178"/>
      <c r="O862" s="242"/>
      <c r="P862" s="243"/>
    </row>
    <row r="863" spans="2:16" ht="12.75">
      <c r="B863" s="238"/>
      <c r="H863" s="155"/>
      <c r="I863" s="239"/>
      <c r="L863" s="240"/>
      <c r="M863" s="241"/>
      <c r="N863" s="178"/>
      <c r="O863" s="242"/>
      <c r="P863" s="243"/>
    </row>
    <row r="864" spans="2:16" ht="12.75">
      <c r="B864" s="238"/>
      <c r="H864" s="155"/>
      <c r="I864" s="239"/>
      <c r="L864" s="240"/>
      <c r="M864" s="241"/>
      <c r="N864" s="178"/>
      <c r="O864" s="242"/>
      <c r="P864" s="243"/>
    </row>
    <row r="865" spans="2:16" ht="12.75">
      <c r="B865" s="238"/>
      <c r="H865" s="155"/>
      <c r="I865" s="239"/>
      <c r="L865" s="240"/>
      <c r="M865" s="241"/>
      <c r="N865" s="178"/>
      <c r="O865" s="242"/>
      <c r="P865" s="243"/>
    </row>
    <row r="866" spans="2:16" ht="12.75">
      <c r="B866" s="238"/>
      <c r="H866" s="155"/>
      <c r="I866" s="239"/>
      <c r="L866" s="240"/>
      <c r="M866" s="241"/>
      <c r="N866" s="178"/>
      <c r="O866" s="242"/>
      <c r="P866" s="243"/>
    </row>
    <row r="867" spans="2:16" ht="12.75">
      <c r="B867" s="238"/>
      <c r="H867" s="155"/>
      <c r="I867" s="239"/>
      <c r="L867" s="240"/>
      <c r="M867" s="241"/>
      <c r="N867" s="178"/>
      <c r="O867" s="242"/>
      <c r="P867" s="243"/>
    </row>
    <row r="868" spans="2:16" ht="12.75">
      <c r="B868" s="238"/>
      <c r="H868" s="155"/>
      <c r="I868" s="239"/>
      <c r="L868" s="240"/>
      <c r="M868" s="241"/>
      <c r="N868" s="178"/>
      <c r="O868" s="242"/>
      <c r="P868" s="243"/>
    </row>
    <row r="869" spans="2:16" ht="12.75">
      <c r="B869" s="238"/>
      <c r="H869" s="155"/>
      <c r="I869" s="239"/>
      <c r="L869" s="240"/>
      <c r="M869" s="241"/>
      <c r="N869" s="178"/>
      <c r="O869" s="242"/>
      <c r="P869" s="243"/>
    </row>
    <row r="870" spans="2:16" ht="12.75">
      <c r="B870" s="238"/>
      <c r="H870" s="155"/>
      <c r="I870" s="239"/>
      <c r="L870" s="240"/>
      <c r="M870" s="241"/>
      <c r="N870" s="178"/>
      <c r="O870" s="242"/>
      <c r="P870" s="243"/>
    </row>
    <row r="871" spans="2:16" ht="12.75">
      <c r="B871" s="238"/>
      <c r="H871" s="155"/>
      <c r="I871" s="239"/>
      <c r="L871" s="240"/>
      <c r="M871" s="241"/>
      <c r="N871" s="178"/>
      <c r="O871" s="242"/>
      <c r="P871" s="243"/>
    </row>
    <row r="872" spans="2:16" ht="12.75">
      <c r="B872" s="238"/>
      <c r="H872" s="155"/>
      <c r="I872" s="239"/>
      <c r="L872" s="240"/>
      <c r="M872" s="241"/>
      <c r="N872" s="178"/>
      <c r="O872" s="242"/>
      <c r="P872" s="243"/>
    </row>
    <row r="873" spans="2:16" ht="12.75">
      <c r="B873" s="238"/>
      <c r="H873" s="155"/>
      <c r="I873" s="239"/>
      <c r="L873" s="240"/>
      <c r="M873" s="241"/>
      <c r="N873" s="178"/>
      <c r="O873" s="242"/>
      <c r="P873" s="243"/>
    </row>
    <row r="874" spans="2:16" ht="12.75">
      <c r="B874" s="238"/>
      <c r="H874" s="155"/>
      <c r="I874" s="239"/>
      <c r="L874" s="240"/>
      <c r="M874" s="241"/>
      <c r="N874" s="178"/>
      <c r="O874" s="242"/>
      <c r="P874" s="243"/>
    </row>
    <row r="875" spans="2:16" ht="12.75">
      <c r="B875" s="238"/>
      <c r="H875" s="155"/>
      <c r="I875" s="239"/>
      <c r="L875" s="240"/>
      <c r="M875" s="241"/>
      <c r="N875" s="178"/>
      <c r="O875" s="242"/>
      <c r="P875" s="243"/>
    </row>
    <row r="876" spans="2:16" ht="12.75">
      <c r="B876" s="238"/>
      <c r="H876" s="155"/>
      <c r="I876" s="239"/>
      <c r="L876" s="240"/>
      <c r="M876" s="241"/>
      <c r="N876" s="178"/>
      <c r="O876" s="242"/>
      <c r="P876" s="243"/>
    </row>
    <row r="877" spans="2:16" ht="12.75">
      <c r="B877" s="238"/>
      <c r="H877" s="155"/>
      <c r="I877" s="239"/>
      <c r="L877" s="240"/>
      <c r="M877" s="241"/>
      <c r="N877" s="178"/>
      <c r="O877" s="242"/>
      <c r="P877" s="243"/>
    </row>
    <row r="878" spans="2:16" ht="12.75">
      <c r="B878" s="238"/>
      <c r="H878" s="155"/>
      <c r="I878" s="239"/>
      <c r="L878" s="240"/>
      <c r="M878" s="241"/>
      <c r="N878" s="178"/>
      <c r="O878" s="242"/>
      <c r="P878" s="243"/>
    </row>
    <row r="879" spans="2:16" ht="12.75">
      <c r="B879" s="238"/>
      <c r="H879" s="155"/>
      <c r="I879" s="239"/>
      <c r="L879" s="240"/>
      <c r="M879" s="241"/>
      <c r="N879" s="178"/>
      <c r="O879" s="242"/>
      <c r="P879" s="243"/>
    </row>
    <row r="880" spans="2:16" ht="12.75">
      <c r="B880" s="238"/>
      <c r="H880" s="155"/>
      <c r="I880" s="239"/>
      <c r="L880" s="240"/>
      <c r="M880" s="241"/>
      <c r="N880" s="178"/>
      <c r="O880" s="242"/>
      <c r="P880" s="243"/>
    </row>
    <row r="881" spans="2:16" ht="12.75">
      <c r="B881" s="238"/>
      <c r="H881" s="155"/>
      <c r="I881" s="239"/>
      <c r="L881" s="240"/>
      <c r="M881" s="241"/>
      <c r="N881" s="178"/>
      <c r="O881" s="242"/>
      <c r="P881" s="243"/>
    </row>
    <row r="882" spans="2:16" ht="12.75">
      <c r="B882" s="238"/>
      <c r="H882" s="155"/>
      <c r="I882" s="239"/>
      <c r="L882" s="240"/>
      <c r="M882" s="241"/>
      <c r="N882" s="178"/>
      <c r="O882" s="242"/>
      <c r="P882" s="243"/>
    </row>
    <row r="883" spans="2:16" ht="12.75">
      <c r="B883" s="238"/>
      <c r="H883" s="155"/>
      <c r="I883" s="239"/>
      <c r="L883" s="240"/>
      <c r="M883" s="241"/>
      <c r="N883" s="178"/>
      <c r="O883" s="242"/>
      <c r="P883" s="243"/>
    </row>
    <row r="884" spans="2:16" ht="12.75">
      <c r="B884" s="238"/>
      <c r="H884" s="155"/>
      <c r="I884" s="239"/>
      <c r="L884" s="240"/>
      <c r="M884" s="241"/>
      <c r="N884" s="178"/>
      <c r="O884" s="242"/>
      <c r="P884" s="243"/>
    </row>
    <row r="885" spans="2:16" ht="12.75">
      <c r="B885" s="238"/>
      <c r="H885" s="155"/>
      <c r="I885" s="239"/>
      <c r="L885" s="240"/>
      <c r="M885" s="241"/>
      <c r="N885" s="178"/>
      <c r="O885" s="242"/>
      <c r="P885" s="243"/>
    </row>
    <row r="886" spans="2:16" ht="12.75">
      <c r="B886" s="238"/>
      <c r="H886" s="155"/>
      <c r="I886" s="239"/>
      <c r="L886" s="240"/>
      <c r="M886" s="241"/>
      <c r="N886" s="178"/>
      <c r="O886" s="242"/>
      <c r="P886" s="243"/>
    </row>
    <row r="887" spans="2:16" ht="12.75">
      <c r="B887" s="238"/>
      <c r="H887" s="155"/>
      <c r="I887" s="239"/>
      <c r="L887" s="240"/>
      <c r="M887" s="241"/>
      <c r="N887" s="178"/>
      <c r="O887" s="242"/>
      <c r="P887" s="243"/>
    </row>
    <row r="888" spans="2:16" ht="12.75">
      <c r="B888" s="238"/>
      <c r="H888" s="155"/>
      <c r="I888" s="239"/>
      <c r="L888" s="240"/>
      <c r="M888" s="241"/>
      <c r="N888" s="178"/>
      <c r="O888" s="242"/>
      <c r="P888" s="243"/>
    </row>
    <row r="889" spans="2:16" ht="12.75">
      <c r="B889" s="238"/>
      <c r="H889" s="155"/>
      <c r="I889" s="239"/>
      <c r="L889" s="240"/>
      <c r="M889" s="241"/>
      <c r="N889" s="178"/>
      <c r="O889" s="242"/>
      <c r="P889" s="243"/>
    </row>
    <row r="890" spans="2:16" ht="12.75">
      <c r="B890" s="238"/>
      <c r="H890" s="155"/>
      <c r="I890" s="239"/>
      <c r="L890" s="240"/>
      <c r="M890" s="241"/>
      <c r="N890" s="178"/>
      <c r="O890" s="242"/>
      <c r="P890" s="243"/>
    </row>
    <row r="891" spans="2:16" ht="12.75">
      <c r="B891" s="238"/>
      <c r="H891" s="155"/>
      <c r="I891" s="239"/>
      <c r="L891" s="240"/>
      <c r="M891" s="241"/>
      <c r="N891" s="178"/>
      <c r="O891" s="242"/>
      <c r="P891" s="243"/>
    </row>
    <row r="892" spans="2:16" ht="12.75">
      <c r="B892" s="238"/>
      <c r="H892" s="155"/>
      <c r="I892" s="239"/>
      <c r="L892" s="240"/>
      <c r="M892" s="241"/>
      <c r="N892" s="178"/>
      <c r="O892" s="242"/>
      <c r="P892" s="243"/>
    </row>
    <row r="893" spans="2:16" ht="12.75">
      <c r="B893" s="238"/>
      <c r="H893" s="155"/>
      <c r="I893" s="239"/>
      <c r="L893" s="240"/>
      <c r="M893" s="241"/>
      <c r="N893" s="178"/>
      <c r="O893" s="242"/>
      <c r="P893" s="243"/>
    </row>
    <row r="894" spans="2:16" ht="12.75">
      <c r="B894" s="238"/>
      <c r="H894" s="155"/>
      <c r="I894" s="239"/>
      <c r="L894" s="240"/>
      <c r="M894" s="241"/>
      <c r="N894" s="178"/>
      <c r="O894" s="242"/>
      <c r="P894" s="243"/>
    </row>
    <row r="895" spans="2:16" ht="12.75">
      <c r="B895" s="238"/>
      <c r="H895" s="155"/>
      <c r="I895" s="239"/>
      <c r="L895" s="240"/>
      <c r="M895" s="241"/>
      <c r="N895" s="178"/>
      <c r="O895" s="242"/>
      <c r="P895" s="243"/>
    </row>
    <row r="896" spans="2:16" ht="12.75">
      <c r="B896" s="238"/>
      <c r="H896" s="155"/>
      <c r="I896" s="239"/>
      <c r="L896" s="240"/>
      <c r="M896" s="241"/>
      <c r="N896" s="178"/>
      <c r="O896" s="242"/>
      <c r="P896" s="243"/>
    </row>
    <row r="897" spans="2:16" ht="12.75">
      <c r="B897" s="238"/>
      <c r="H897" s="155"/>
      <c r="I897" s="239"/>
      <c r="L897" s="240"/>
      <c r="M897" s="241"/>
      <c r="N897" s="178"/>
      <c r="O897" s="242"/>
      <c r="P897" s="243"/>
    </row>
    <row r="898" spans="2:16" ht="12.75">
      <c r="B898" s="238"/>
      <c r="H898" s="155"/>
      <c r="I898" s="239"/>
      <c r="L898" s="240"/>
      <c r="M898" s="241"/>
      <c r="N898" s="178"/>
      <c r="O898" s="242"/>
      <c r="P898" s="243"/>
    </row>
    <row r="899" spans="2:16" ht="12.75">
      <c r="B899" s="238"/>
      <c r="H899" s="155"/>
      <c r="I899" s="239"/>
      <c r="L899" s="240"/>
      <c r="M899" s="241"/>
      <c r="N899" s="178"/>
      <c r="O899" s="242"/>
      <c r="P899" s="243"/>
    </row>
    <row r="900" spans="2:16" ht="12.75">
      <c r="B900" s="238"/>
      <c r="H900" s="155"/>
      <c r="I900" s="239"/>
      <c r="L900" s="240"/>
      <c r="M900" s="241"/>
      <c r="N900" s="178"/>
      <c r="O900" s="242"/>
      <c r="P900" s="243"/>
    </row>
    <row r="901" spans="2:16" ht="12.75">
      <c r="B901" s="238"/>
      <c r="H901" s="155"/>
      <c r="I901" s="239"/>
      <c r="L901" s="240"/>
      <c r="M901" s="241"/>
      <c r="N901" s="178"/>
      <c r="O901" s="242"/>
      <c r="P901" s="243"/>
    </row>
    <row r="902" spans="2:16" ht="12.75">
      <c r="B902" s="238"/>
      <c r="H902" s="155"/>
      <c r="I902" s="239"/>
      <c r="L902" s="240"/>
      <c r="M902" s="241"/>
      <c r="N902" s="178"/>
      <c r="O902" s="242"/>
      <c r="P902" s="243"/>
    </row>
    <row r="903" spans="2:16" ht="12.75">
      <c r="B903" s="238"/>
      <c r="H903" s="155"/>
      <c r="I903" s="239"/>
      <c r="L903" s="240"/>
      <c r="M903" s="241"/>
      <c r="N903" s="178"/>
      <c r="O903" s="242"/>
      <c r="P903" s="243"/>
    </row>
    <row r="904" spans="2:16" ht="12.75">
      <c r="B904" s="238"/>
      <c r="H904" s="155"/>
      <c r="I904" s="239"/>
      <c r="L904" s="240"/>
      <c r="M904" s="241"/>
      <c r="N904" s="178"/>
      <c r="O904" s="242"/>
      <c r="P904" s="243"/>
    </row>
    <row r="905" spans="2:16" ht="12.75">
      <c r="B905" s="238"/>
      <c r="H905" s="155"/>
      <c r="I905" s="239"/>
      <c r="L905" s="240"/>
      <c r="M905" s="241"/>
      <c r="N905" s="178"/>
      <c r="O905" s="242"/>
      <c r="P905" s="243"/>
    </row>
    <row r="906" spans="2:16" ht="12.75">
      <c r="B906" s="238"/>
      <c r="H906" s="155"/>
      <c r="I906" s="239"/>
      <c r="L906" s="240"/>
      <c r="M906" s="241"/>
      <c r="N906" s="178"/>
      <c r="O906" s="242"/>
      <c r="P906" s="243"/>
    </row>
    <row r="907" spans="2:16" ht="12.75">
      <c r="B907" s="238"/>
      <c r="H907" s="155"/>
      <c r="I907" s="239"/>
      <c r="L907" s="240"/>
      <c r="M907" s="241"/>
      <c r="N907" s="178"/>
      <c r="O907" s="242"/>
      <c r="P907" s="243"/>
    </row>
    <row r="908" spans="2:16" ht="12.75">
      <c r="B908" s="238"/>
      <c r="H908" s="155"/>
      <c r="I908" s="239"/>
      <c r="L908" s="240"/>
      <c r="M908" s="241"/>
      <c r="N908" s="178"/>
      <c r="O908" s="242"/>
      <c r="P908" s="243"/>
    </row>
    <row r="909" spans="2:16" ht="12.75">
      <c r="B909" s="238"/>
      <c r="H909" s="155"/>
      <c r="I909" s="239"/>
      <c r="L909" s="240"/>
      <c r="M909" s="241"/>
      <c r="N909" s="178"/>
      <c r="O909" s="242"/>
      <c r="P909" s="243"/>
    </row>
    <row r="910" spans="2:16" ht="12.75">
      <c r="B910" s="238"/>
      <c r="H910" s="155"/>
      <c r="I910" s="239"/>
      <c r="L910" s="240"/>
      <c r="M910" s="241"/>
      <c r="N910" s="178"/>
      <c r="O910" s="242"/>
      <c r="P910" s="243"/>
    </row>
    <row r="911" spans="2:16" ht="12.75">
      <c r="B911" s="238"/>
      <c r="H911" s="155"/>
      <c r="I911" s="239"/>
      <c r="L911" s="240"/>
      <c r="M911" s="241"/>
      <c r="N911" s="178"/>
      <c r="O911" s="242"/>
      <c r="P911" s="243"/>
    </row>
    <row r="912" spans="2:16" ht="12.75">
      <c r="B912" s="238"/>
      <c r="H912" s="155"/>
      <c r="I912" s="239"/>
      <c r="L912" s="240"/>
      <c r="M912" s="241"/>
      <c r="N912" s="178"/>
      <c r="O912" s="242"/>
      <c r="P912" s="243"/>
    </row>
    <row r="913" spans="2:16" ht="12.75">
      <c r="B913" s="238"/>
      <c r="H913" s="155"/>
      <c r="I913" s="239"/>
      <c r="L913" s="240"/>
      <c r="M913" s="241"/>
      <c r="N913" s="178"/>
      <c r="O913" s="242"/>
      <c r="P913" s="243"/>
    </row>
    <row r="914" spans="2:16" ht="12.75">
      <c r="B914" s="238"/>
      <c r="H914" s="155"/>
      <c r="I914" s="239"/>
      <c r="L914" s="240"/>
      <c r="M914" s="241"/>
      <c r="N914" s="178"/>
      <c r="O914" s="242"/>
      <c r="P914" s="243"/>
    </row>
    <row r="915" spans="2:16" ht="12.75">
      <c r="B915" s="238"/>
      <c r="H915" s="155"/>
      <c r="I915" s="239"/>
      <c r="L915" s="240"/>
      <c r="M915" s="241"/>
      <c r="N915" s="178"/>
      <c r="O915" s="242"/>
      <c r="P915" s="243"/>
    </row>
    <row r="916" spans="2:16" ht="12.75">
      <c r="B916" s="238"/>
      <c r="H916" s="155"/>
      <c r="I916" s="239"/>
      <c r="L916" s="240"/>
      <c r="M916" s="241"/>
      <c r="N916" s="178"/>
      <c r="O916" s="242"/>
      <c r="P916" s="243"/>
    </row>
    <row r="917" spans="2:16" ht="12.75">
      <c r="B917" s="238"/>
      <c r="H917" s="155"/>
      <c r="I917" s="239"/>
      <c r="L917" s="240"/>
      <c r="M917" s="241"/>
      <c r="N917" s="178"/>
      <c r="O917" s="242"/>
      <c r="P917" s="243"/>
    </row>
    <row r="918" spans="2:16" ht="12.75">
      <c r="B918" s="238"/>
      <c r="H918" s="155"/>
      <c r="I918" s="239"/>
      <c r="L918" s="240"/>
      <c r="M918" s="241"/>
      <c r="N918" s="178"/>
      <c r="O918" s="242"/>
      <c r="P918" s="243"/>
    </row>
    <row r="919" spans="2:16" ht="12.75">
      <c r="B919" s="238"/>
      <c r="H919" s="155"/>
      <c r="I919" s="239"/>
      <c r="L919" s="240"/>
      <c r="M919" s="241"/>
      <c r="N919" s="178"/>
      <c r="O919" s="242"/>
      <c r="P919" s="243"/>
    </row>
    <row r="920" spans="2:16" ht="12.75">
      <c r="B920" s="238"/>
      <c r="H920" s="155"/>
      <c r="I920" s="239"/>
      <c r="L920" s="240"/>
      <c r="M920" s="241"/>
      <c r="N920" s="178"/>
      <c r="O920" s="242"/>
      <c r="P920" s="243"/>
    </row>
    <row r="921" spans="2:16" ht="12.75">
      <c r="B921" s="238"/>
      <c r="H921" s="155"/>
      <c r="I921" s="239"/>
      <c r="L921" s="240"/>
      <c r="M921" s="241"/>
      <c r="N921" s="178"/>
      <c r="O921" s="242"/>
      <c r="P921" s="243"/>
    </row>
    <row r="922" spans="2:16" ht="12.75">
      <c r="B922" s="238"/>
      <c r="H922" s="155"/>
      <c r="I922" s="239"/>
      <c r="L922" s="240"/>
      <c r="M922" s="241"/>
      <c r="N922" s="178"/>
      <c r="O922" s="242"/>
      <c r="P922" s="243"/>
    </row>
    <row r="923" spans="2:16" ht="12.75">
      <c r="B923" s="238"/>
      <c r="H923" s="155"/>
      <c r="I923" s="239"/>
      <c r="L923" s="240"/>
      <c r="M923" s="241"/>
      <c r="N923" s="178"/>
      <c r="O923" s="242"/>
      <c r="P923" s="243"/>
    </row>
    <row r="924" spans="2:16" ht="12.75">
      <c r="B924" s="238"/>
      <c r="H924" s="155"/>
      <c r="I924" s="239"/>
      <c r="L924" s="240"/>
      <c r="M924" s="241"/>
      <c r="N924" s="178"/>
      <c r="O924" s="242"/>
      <c r="P924" s="243"/>
    </row>
    <row r="925" spans="2:16" ht="12.75">
      <c r="B925" s="238"/>
      <c r="H925" s="155"/>
      <c r="I925" s="239"/>
      <c r="L925" s="240"/>
      <c r="M925" s="241"/>
      <c r="N925" s="178"/>
      <c r="O925" s="242"/>
      <c r="P925" s="243"/>
    </row>
    <row r="926" spans="2:16" ht="12.75">
      <c r="B926" s="238"/>
      <c r="H926" s="155"/>
      <c r="I926" s="239"/>
      <c r="L926" s="240"/>
      <c r="M926" s="241"/>
      <c r="N926" s="178"/>
      <c r="O926" s="242"/>
      <c r="P926" s="243"/>
    </row>
    <row r="927" spans="2:16" ht="12.75">
      <c r="B927" s="238"/>
      <c r="H927" s="155"/>
      <c r="I927" s="239"/>
      <c r="L927" s="240"/>
      <c r="M927" s="241"/>
      <c r="N927" s="178"/>
      <c r="O927" s="242"/>
      <c r="P927" s="243"/>
    </row>
    <row r="928" spans="2:16" ht="12.75">
      <c r="B928" s="238"/>
      <c r="H928" s="155"/>
      <c r="I928" s="239"/>
      <c r="L928" s="240"/>
      <c r="M928" s="241"/>
      <c r="N928" s="178"/>
      <c r="O928" s="242"/>
      <c r="P928" s="243"/>
    </row>
    <row r="929" spans="2:16" ht="12.75">
      <c r="B929" s="238"/>
      <c r="H929" s="155"/>
      <c r="I929" s="239"/>
      <c r="L929" s="240"/>
      <c r="M929" s="241"/>
      <c r="N929" s="178"/>
      <c r="O929" s="242"/>
      <c r="P929" s="243"/>
    </row>
    <row r="930" spans="2:16" ht="12.75">
      <c r="B930" s="238"/>
      <c r="H930" s="155"/>
      <c r="I930" s="239"/>
      <c r="L930" s="240"/>
      <c r="M930" s="241"/>
      <c r="N930" s="178"/>
      <c r="O930" s="242"/>
      <c r="P930" s="243"/>
    </row>
    <row r="931" spans="2:16" ht="12.75">
      <c r="B931" s="238"/>
      <c r="H931" s="155"/>
      <c r="I931" s="239"/>
      <c r="L931" s="240"/>
      <c r="M931" s="241"/>
      <c r="N931" s="178"/>
      <c r="O931" s="242"/>
      <c r="P931" s="243"/>
    </row>
    <row r="932" spans="2:16" ht="12.75">
      <c r="B932" s="238"/>
      <c r="H932" s="155"/>
      <c r="I932" s="239"/>
      <c r="L932" s="240"/>
      <c r="M932" s="241"/>
      <c r="N932" s="178"/>
      <c r="O932" s="242"/>
      <c r="P932" s="243"/>
    </row>
    <row r="933" spans="2:16" ht="12.75">
      <c r="B933" s="238"/>
      <c r="H933" s="155"/>
      <c r="I933" s="239"/>
      <c r="L933" s="240"/>
      <c r="M933" s="241"/>
      <c r="N933" s="178"/>
      <c r="O933" s="242"/>
      <c r="P933" s="243"/>
    </row>
    <row r="934" spans="2:16" ht="12.75">
      <c r="B934" s="238"/>
      <c r="H934" s="155"/>
      <c r="I934" s="239"/>
      <c r="L934" s="240"/>
      <c r="M934" s="241"/>
      <c r="N934" s="178"/>
      <c r="O934" s="242"/>
      <c r="P934" s="243"/>
    </row>
    <row r="935" spans="2:16" ht="12.75">
      <c r="B935" s="238"/>
      <c r="H935" s="155"/>
      <c r="I935" s="239"/>
      <c r="L935" s="240"/>
      <c r="M935" s="241"/>
      <c r="N935" s="178"/>
      <c r="O935" s="242"/>
      <c r="P935" s="243"/>
    </row>
    <row r="936" spans="2:16" ht="12.75">
      <c r="B936" s="238"/>
      <c r="H936" s="155"/>
      <c r="I936" s="239"/>
      <c r="L936" s="240"/>
      <c r="M936" s="241"/>
      <c r="N936" s="178"/>
      <c r="O936" s="242"/>
      <c r="P936" s="243"/>
    </row>
    <row r="937" spans="2:16" ht="12.75">
      <c r="B937" s="238"/>
      <c r="H937" s="155"/>
      <c r="I937" s="239"/>
      <c r="L937" s="240"/>
      <c r="M937" s="241"/>
      <c r="N937" s="178"/>
      <c r="O937" s="242"/>
      <c r="P937" s="243"/>
    </row>
    <row r="938" spans="2:16" ht="12.75">
      <c r="B938" s="238"/>
      <c r="H938" s="155"/>
      <c r="I938" s="239"/>
      <c r="L938" s="240"/>
      <c r="M938" s="241"/>
      <c r="N938" s="178"/>
      <c r="O938" s="242"/>
      <c r="P938" s="243"/>
    </row>
    <row r="939" spans="2:16" ht="12.75">
      <c r="B939" s="238"/>
      <c r="H939" s="155"/>
      <c r="I939" s="239"/>
      <c r="L939" s="240"/>
      <c r="M939" s="241"/>
      <c r="N939" s="178"/>
      <c r="O939" s="242"/>
      <c r="P939" s="243"/>
    </row>
    <row r="940" spans="2:16" ht="12.75">
      <c r="B940" s="238"/>
      <c r="H940" s="155"/>
      <c r="I940" s="239"/>
      <c r="L940" s="240"/>
      <c r="M940" s="241"/>
      <c r="N940" s="178"/>
      <c r="O940" s="242"/>
      <c r="P940" s="243"/>
    </row>
    <row r="941" spans="2:16" ht="12.75">
      <c r="B941" s="238"/>
      <c r="H941" s="155"/>
      <c r="I941" s="239"/>
      <c r="L941" s="240"/>
      <c r="M941" s="241"/>
      <c r="N941" s="178"/>
      <c r="O941" s="242"/>
      <c r="P941" s="243"/>
    </row>
    <row r="942" spans="2:16" ht="12.75">
      <c r="B942" s="238"/>
      <c r="H942" s="155"/>
      <c r="I942" s="239"/>
      <c r="L942" s="240"/>
      <c r="M942" s="241"/>
      <c r="N942" s="178"/>
      <c r="O942" s="242"/>
      <c r="P942" s="243"/>
    </row>
    <row r="943" spans="2:16" ht="12.75">
      <c r="B943" s="238"/>
      <c r="H943" s="155"/>
      <c r="I943" s="239"/>
      <c r="L943" s="240"/>
      <c r="M943" s="241"/>
      <c r="N943" s="178"/>
      <c r="O943" s="242"/>
      <c r="P943" s="243"/>
    </row>
    <row r="944" spans="2:16" ht="12.75">
      <c r="B944" s="238"/>
      <c r="H944" s="155"/>
      <c r="I944" s="239"/>
      <c r="L944" s="240"/>
      <c r="M944" s="241"/>
      <c r="N944" s="178"/>
      <c r="O944" s="242"/>
      <c r="P944" s="243"/>
    </row>
    <row r="945" spans="2:16" ht="12.75">
      <c r="B945" s="238"/>
      <c r="H945" s="155"/>
      <c r="I945" s="239"/>
      <c r="L945" s="240"/>
      <c r="M945" s="241"/>
      <c r="N945" s="178"/>
      <c r="O945" s="242"/>
      <c r="P945" s="243"/>
    </row>
    <row r="946" spans="2:16" ht="12.75">
      <c r="B946" s="238"/>
      <c r="H946" s="155"/>
      <c r="I946" s="239"/>
      <c r="L946" s="240"/>
      <c r="M946" s="241"/>
      <c r="N946" s="178"/>
      <c r="O946" s="242"/>
      <c r="P946" s="243"/>
    </row>
    <row r="947" spans="2:16" ht="12.75">
      <c r="B947" s="238"/>
      <c r="H947" s="155"/>
      <c r="I947" s="239"/>
      <c r="L947" s="240"/>
      <c r="M947" s="241"/>
      <c r="N947" s="178"/>
      <c r="O947" s="242"/>
      <c r="P947" s="243"/>
    </row>
    <row r="948" spans="2:16" ht="12.75">
      <c r="B948" s="238"/>
      <c r="H948" s="155"/>
      <c r="I948" s="239"/>
      <c r="L948" s="240"/>
      <c r="M948" s="241"/>
      <c r="N948" s="178"/>
      <c r="O948" s="242"/>
      <c r="P948" s="243"/>
    </row>
    <row r="949" spans="2:16" ht="12.75">
      <c r="B949" s="238"/>
      <c r="H949" s="155"/>
      <c r="I949" s="239"/>
      <c r="L949" s="240"/>
      <c r="M949" s="241"/>
      <c r="N949" s="178"/>
      <c r="O949" s="242"/>
      <c r="P949" s="243"/>
    </row>
    <row r="950" spans="2:16" ht="12.75">
      <c r="B950" s="238"/>
      <c r="H950" s="155"/>
      <c r="I950" s="239"/>
      <c r="L950" s="240"/>
      <c r="M950" s="241"/>
      <c r="N950" s="178"/>
      <c r="O950" s="242"/>
      <c r="P950" s="243"/>
    </row>
    <row r="951" spans="2:16" ht="12.75">
      <c r="B951" s="238"/>
      <c r="H951" s="155"/>
      <c r="I951" s="239"/>
      <c r="L951" s="240"/>
      <c r="M951" s="241"/>
      <c r="N951" s="178"/>
      <c r="O951" s="242"/>
      <c r="P951" s="243"/>
    </row>
    <row r="952" spans="2:16" ht="12.75">
      <c r="B952" s="238"/>
      <c r="H952" s="155"/>
      <c r="I952" s="239"/>
      <c r="L952" s="240"/>
      <c r="M952" s="241"/>
      <c r="N952" s="178"/>
      <c r="O952" s="242"/>
      <c r="P952" s="243"/>
    </row>
    <row r="953" spans="2:16" ht="12.75">
      <c r="B953" s="238"/>
      <c r="H953" s="155"/>
      <c r="I953" s="239"/>
      <c r="L953" s="240"/>
      <c r="M953" s="241"/>
      <c r="N953" s="178"/>
      <c r="O953" s="242"/>
      <c r="P953" s="243"/>
    </row>
    <row r="954" spans="2:16" ht="12.75">
      <c r="B954" s="238"/>
      <c r="H954" s="155"/>
      <c r="I954" s="239"/>
      <c r="L954" s="240"/>
      <c r="M954" s="241"/>
      <c r="N954" s="178"/>
      <c r="O954" s="242"/>
      <c r="P954" s="243"/>
    </row>
    <row r="955" spans="2:16" ht="12.75">
      <c r="B955" s="238"/>
      <c r="H955" s="155"/>
      <c r="I955" s="239"/>
      <c r="L955" s="240"/>
      <c r="M955" s="241"/>
      <c r="N955" s="178"/>
      <c r="O955" s="242"/>
      <c r="P955" s="243"/>
    </row>
    <row r="956" spans="2:16" ht="12.75">
      <c r="B956" s="238"/>
      <c r="H956" s="155"/>
      <c r="I956" s="239"/>
      <c r="L956" s="240"/>
      <c r="M956" s="241"/>
      <c r="N956" s="178"/>
      <c r="O956" s="242"/>
      <c r="P956" s="243"/>
    </row>
    <row r="957" spans="2:16" ht="12.75">
      <c r="B957" s="238"/>
      <c r="H957" s="155"/>
      <c r="I957" s="239"/>
      <c r="L957" s="240"/>
      <c r="M957" s="241"/>
      <c r="N957" s="178"/>
      <c r="O957" s="242"/>
      <c r="P957" s="243"/>
    </row>
    <row r="958" spans="2:16" ht="12.75">
      <c r="B958" s="238"/>
      <c r="H958" s="155"/>
      <c r="I958" s="239"/>
      <c r="L958" s="240"/>
      <c r="M958" s="241"/>
      <c r="N958" s="178"/>
      <c r="O958" s="242"/>
      <c r="P958" s="243"/>
    </row>
    <row r="959" spans="2:16" ht="12.75">
      <c r="B959" s="238"/>
      <c r="H959" s="155"/>
      <c r="I959" s="239"/>
      <c r="L959" s="240"/>
      <c r="M959" s="241"/>
      <c r="N959" s="178"/>
      <c r="O959" s="242"/>
      <c r="P959" s="243"/>
    </row>
    <row r="960" spans="2:16" ht="12.75">
      <c r="B960" s="238"/>
      <c r="H960" s="155"/>
      <c r="I960" s="239"/>
      <c r="L960" s="240"/>
      <c r="M960" s="241"/>
      <c r="N960" s="178"/>
      <c r="O960" s="242"/>
      <c r="P960" s="243"/>
    </row>
    <row r="961" spans="2:16" ht="12.75">
      <c r="B961" s="238"/>
      <c r="H961" s="155"/>
      <c r="I961" s="239"/>
      <c r="L961" s="240"/>
      <c r="M961" s="241"/>
      <c r="N961" s="178"/>
      <c r="O961" s="242"/>
      <c r="P961" s="243"/>
    </row>
    <row r="962" spans="2:16" ht="12.75">
      <c r="B962" s="238"/>
      <c r="H962" s="155"/>
      <c r="I962" s="239"/>
      <c r="L962" s="240"/>
      <c r="M962" s="241"/>
      <c r="N962" s="178"/>
      <c r="O962" s="242"/>
      <c r="P962" s="243"/>
    </row>
    <row r="963" spans="2:16" ht="12.75">
      <c r="B963" s="238"/>
      <c r="H963" s="155"/>
      <c r="I963" s="239"/>
      <c r="L963" s="240"/>
      <c r="M963" s="241"/>
      <c r="N963" s="178"/>
      <c r="O963" s="242"/>
      <c r="P963" s="243"/>
    </row>
    <row r="964" spans="2:16" ht="12.75">
      <c r="B964" s="238"/>
      <c r="H964" s="155"/>
      <c r="I964" s="239"/>
      <c r="L964" s="240"/>
      <c r="M964" s="241"/>
      <c r="N964" s="178"/>
      <c r="O964" s="242"/>
      <c r="P964" s="243"/>
    </row>
    <row r="965" spans="2:16" ht="12.75">
      <c r="B965" s="238"/>
      <c r="H965" s="155"/>
      <c r="I965" s="239"/>
      <c r="L965" s="240"/>
      <c r="M965" s="241"/>
      <c r="N965" s="178"/>
      <c r="O965" s="242"/>
      <c r="P965" s="243"/>
    </row>
    <row r="966" spans="2:16" ht="12.75">
      <c r="B966" s="238"/>
      <c r="H966" s="155"/>
      <c r="I966" s="239"/>
      <c r="L966" s="240"/>
      <c r="M966" s="241"/>
      <c r="N966" s="178"/>
      <c r="O966" s="242"/>
      <c r="P966" s="243"/>
    </row>
    <row r="967" spans="2:16" ht="12.75">
      <c r="B967" s="238"/>
      <c r="H967" s="155"/>
      <c r="I967" s="239"/>
      <c r="L967" s="240"/>
      <c r="M967" s="241"/>
      <c r="N967" s="178"/>
      <c r="O967" s="242"/>
      <c r="P967" s="243"/>
    </row>
    <row r="968" spans="2:16" ht="12.75">
      <c r="B968" s="238"/>
      <c r="H968" s="155"/>
      <c r="I968" s="239"/>
      <c r="L968" s="240"/>
      <c r="M968" s="241"/>
      <c r="N968" s="178"/>
      <c r="O968" s="242"/>
      <c r="P968" s="243"/>
    </row>
    <row r="969" spans="2:16" ht="12.75">
      <c r="B969" s="238"/>
      <c r="H969" s="155"/>
      <c r="I969" s="239"/>
      <c r="L969" s="240"/>
      <c r="M969" s="241"/>
      <c r="N969" s="178"/>
      <c r="O969" s="242"/>
      <c r="P969" s="243"/>
    </row>
    <row r="970" spans="2:16" ht="12.75">
      <c r="B970" s="238"/>
      <c r="H970" s="155"/>
      <c r="I970" s="239"/>
      <c r="L970" s="240"/>
      <c r="M970" s="241"/>
      <c r="N970" s="178"/>
      <c r="O970" s="242"/>
      <c r="P970" s="243"/>
    </row>
    <row r="971" spans="2:16" ht="12.75">
      <c r="B971" s="238"/>
      <c r="H971" s="155"/>
      <c r="I971" s="239"/>
      <c r="L971" s="240"/>
      <c r="M971" s="241"/>
      <c r="N971" s="178"/>
      <c r="O971" s="242"/>
      <c r="P971" s="243"/>
    </row>
    <row r="972" spans="2:16" ht="12.75">
      <c r="B972" s="238"/>
      <c r="H972" s="155"/>
      <c r="I972" s="239"/>
      <c r="L972" s="240"/>
      <c r="M972" s="241"/>
      <c r="N972" s="178"/>
      <c r="O972" s="242"/>
      <c r="P972" s="243"/>
    </row>
    <row r="973" spans="2:16" ht="12.75">
      <c r="B973" s="238"/>
      <c r="H973" s="155"/>
      <c r="I973" s="239"/>
      <c r="L973" s="240"/>
      <c r="M973" s="241"/>
      <c r="N973" s="178"/>
      <c r="O973" s="242"/>
      <c r="P973" s="243"/>
    </row>
    <row r="974" spans="2:16" ht="12.75">
      <c r="B974" s="238"/>
      <c r="H974" s="155"/>
      <c r="I974" s="239"/>
      <c r="L974" s="240"/>
      <c r="M974" s="241"/>
      <c r="N974" s="178"/>
      <c r="O974" s="242"/>
      <c r="P974" s="243"/>
    </row>
    <row r="975" spans="2:16" ht="12.75">
      <c r="B975" s="238"/>
      <c r="H975" s="155"/>
      <c r="I975" s="239"/>
      <c r="L975" s="240"/>
      <c r="M975" s="241"/>
      <c r="N975" s="178"/>
      <c r="O975" s="242"/>
      <c r="P975" s="243"/>
    </row>
    <row r="976" spans="2:16" ht="12.75">
      <c r="B976" s="238"/>
      <c r="H976" s="155"/>
      <c r="I976" s="239"/>
      <c r="L976" s="240"/>
      <c r="M976" s="241"/>
      <c r="N976" s="178"/>
      <c r="O976" s="242"/>
      <c r="P976" s="243"/>
    </row>
    <row r="977" spans="2:16" ht="12.75">
      <c r="B977" s="238"/>
      <c r="H977" s="155"/>
      <c r="I977" s="239"/>
      <c r="L977" s="240"/>
      <c r="M977" s="241"/>
      <c r="N977" s="178"/>
      <c r="O977" s="242"/>
      <c r="P977" s="243"/>
    </row>
    <row r="978" spans="2:16" ht="12.75">
      <c r="B978" s="238"/>
      <c r="H978" s="155"/>
      <c r="I978" s="239"/>
      <c r="L978" s="240"/>
      <c r="M978" s="241"/>
      <c r="N978" s="178"/>
      <c r="O978" s="242"/>
      <c r="P978" s="243"/>
    </row>
    <row r="979" spans="2:16" ht="12.75">
      <c r="B979" s="238"/>
      <c r="H979" s="155"/>
      <c r="I979" s="239"/>
      <c r="L979" s="240"/>
      <c r="M979" s="241"/>
      <c r="N979" s="178"/>
      <c r="O979" s="242"/>
      <c r="P979" s="243"/>
    </row>
    <row r="980" spans="2:16" ht="12.75">
      <c r="B980" s="238"/>
      <c r="H980" s="155"/>
      <c r="I980" s="239"/>
      <c r="L980" s="240"/>
      <c r="M980" s="241"/>
      <c r="N980" s="178"/>
      <c r="O980" s="242"/>
      <c r="P980" s="243"/>
    </row>
    <row r="981" spans="2:16" ht="12.75">
      <c r="B981" s="238"/>
      <c r="H981" s="155"/>
      <c r="I981" s="239"/>
      <c r="L981" s="240"/>
      <c r="M981" s="241"/>
      <c r="N981" s="178"/>
      <c r="O981" s="242"/>
      <c r="P981" s="243"/>
    </row>
    <row r="982" spans="2:16" ht="12.75">
      <c r="B982" s="238"/>
      <c r="H982" s="155"/>
      <c r="I982" s="239"/>
      <c r="L982" s="240"/>
      <c r="M982" s="241"/>
      <c r="N982" s="178"/>
      <c r="O982" s="242"/>
      <c r="P982" s="243"/>
    </row>
    <row r="983" spans="2:16" ht="12.75">
      <c r="B983" s="238"/>
      <c r="H983" s="155"/>
      <c r="I983" s="239"/>
      <c r="L983" s="240"/>
      <c r="M983" s="241"/>
      <c r="N983" s="178"/>
      <c r="O983" s="242"/>
      <c r="P983" s="243"/>
    </row>
    <row r="984" spans="2:16" ht="12.75">
      <c r="B984" s="238"/>
      <c r="H984" s="155"/>
      <c r="I984" s="239"/>
      <c r="L984" s="240"/>
      <c r="M984" s="241"/>
      <c r="N984" s="178"/>
      <c r="O984" s="242"/>
      <c r="P984" s="243"/>
    </row>
    <row r="985" spans="2:16" ht="12.75">
      <c r="B985" s="238"/>
      <c r="H985" s="155"/>
      <c r="I985" s="239"/>
      <c r="L985" s="240"/>
      <c r="M985" s="241"/>
      <c r="N985" s="178"/>
      <c r="O985" s="242"/>
      <c r="P985" s="243"/>
    </row>
    <row r="986" spans="2:16" ht="12.75">
      <c r="B986" s="238"/>
      <c r="H986" s="155"/>
      <c r="I986" s="239"/>
      <c r="L986" s="240"/>
      <c r="M986" s="241"/>
      <c r="N986" s="178"/>
      <c r="O986" s="242"/>
      <c r="P986" s="243"/>
    </row>
    <row r="987" spans="2:16" ht="12.75">
      <c r="B987" s="238"/>
      <c r="H987" s="155"/>
      <c r="I987" s="239"/>
      <c r="L987" s="240"/>
      <c r="M987" s="241"/>
      <c r="N987" s="178"/>
      <c r="O987" s="242"/>
      <c r="P987" s="243"/>
    </row>
    <row r="988" spans="2:16" ht="12.75">
      <c r="B988" s="238"/>
      <c r="H988" s="155"/>
      <c r="I988" s="239"/>
      <c r="L988" s="240"/>
      <c r="M988" s="241"/>
      <c r="N988" s="178"/>
      <c r="O988" s="242"/>
      <c r="P988" s="243"/>
    </row>
    <row r="989" spans="2:16" ht="12.75">
      <c r="B989" s="238"/>
      <c r="H989" s="155"/>
      <c r="I989" s="239"/>
      <c r="L989" s="240"/>
      <c r="M989" s="241"/>
      <c r="N989" s="178"/>
      <c r="O989" s="242"/>
      <c r="P989" s="243"/>
    </row>
    <row r="990" spans="2:16" ht="12.75">
      <c r="B990" s="238"/>
      <c r="H990" s="155"/>
      <c r="I990" s="239"/>
      <c r="L990" s="240"/>
      <c r="M990" s="241"/>
      <c r="N990" s="178"/>
      <c r="O990" s="242"/>
      <c r="P990" s="243"/>
    </row>
    <row r="991" spans="2:16" ht="12.75">
      <c r="B991" s="238"/>
      <c r="H991" s="155"/>
      <c r="I991" s="239"/>
      <c r="L991" s="240"/>
      <c r="M991" s="241"/>
      <c r="N991" s="178"/>
      <c r="O991" s="242"/>
      <c r="P991" s="243"/>
    </row>
    <row r="992" spans="2:16" ht="12.75">
      <c r="B992" s="238"/>
      <c r="H992" s="155"/>
      <c r="I992" s="239"/>
      <c r="L992" s="240"/>
      <c r="M992" s="241"/>
      <c r="N992" s="178"/>
      <c r="O992" s="242"/>
      <c r="P992" s="243"/>
    </row>
    <row r="993" spans="2:16" ht="12.75">
      <c r="B993" s="238"/>
      <c r="H993" s="155"/>
      <c r="I993" s="239"/>
      <c r="L993" s="240"/>
      <c r="M993" s="241"/>
      <c r="N993" s="178"/>
      <c r="O993" s="242"/>
      <c r="P993" s="243"/>
    </row>
    <row r="994" spans="2:16" ht="12.75">
      <c r="B994" s="238"/>
      <c r="H994" s="155"/>
      <c r="I994" s="239"/>
      <c r="L994" s="240"/>
      <c r="M994" s="241"/>
      <c r="N994" s="178"/>
      <c r="O994" s="242"/>
      <c r="P994" s="243"/>
    </row>
    <row r="995" spans="2:16" ht="12.75">
      <c r="B995" s="238"/>
      <c r="H995" s="155"/>
      <c r="I995" s="239"/>
      <c r="L995" s="240"/>
      <c r="M995" s="241"/>
      <c r="N995" s="178"/>
      <c r="O995" s="242"/>
      <c r="P995" s="243"/>
    </row>
    <row r="996" spans="2:16" ht="12.75">
      <c r="B996" s="238"/>
      <c r="H996" s="155"/>
      <c r="I996" s="239"/>
      <c r="L996" s="240"/>
      <c r="M996" s="241"/>
      <c r="N996" s="178"/>
      <c r="O996" s="242"/>
      <c r="P996" s="243"/>
    </row>
    <row r="997" spans="2:16" ht="12.75">
      <c r="B997" s="238"/>
      <c r="H997" s="155"/>
      <c r="I997" s="239"/>
      <c r="L997" s="240"/>
      <c r="M997" s="241"/>
      <c r="N997" s="178"/>
      <c r="O997" s="242"/>
      <c r="P997" s="243"/>
    </row>
    <row r="998" spans="2:16" ht="12.75">
      <c r="B998" s="238"/>
      <c r="H998" s="155"/>
      <c r="I998" s="239"/>
      <c r="L998" s="240"/>
      <c r="M998" s="241"/>
      <c r="N998" s="178"/>
      <c r="O998" s="242"/>
      <c r="P998" s="243"/>
    </row>
    <row r="999" spans="2:16" ht="12.75">
      <c r="B999" s="238"/>
      <c r="H999" s="155"/>
      <c r="I999" s="239"/>
      <c r="L999" s="240"/>
      <c r="M999" s="241"/>
      <c r="N999" s="178"/>
      <c r="O999" s="242"/>
      <c r="P999" s="243"/>
    </row>
  </sheetData>
  <autoFilter ref="A1:P286"/>
  <mergeCells count="3">
    <mergeCell ref="L1:P1"/>
    <mergeCell ref="B147:H147"/>
    <mergeCell ref="B182:G18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9"/>
  <sheetViews>
    <sheetView workbookViewId="0"/>
  </sheetViews>
  <sheetFormatPr defaultColWidth="12.5703125" defaultRowHeight="15.75" customHeight="1"/>
  <cols>
    <col min="1" max="1" width="5.7109375" customWidth="1"/>
    <col min="2" max="2" width="35.7109375" customWidth="1"/>
    <col min="3" max="3" width="6.42578125" customWidth="1"/>
    <col min="4" max="4" width="18.85546875" customWidth="1"/>
    <col min="5" max="5" width="7.5703125" customWidth="1"/>
    <col min="6" max="6" width="8.28515625" customWidth="1"/>
    <col min="7" max="7" width="11.42578125" customWidth="1"/>
    <col min="8" max="8" width="5.5703125" customWidth="1"/>
    <col min="9" max="9" width="7.28515625" customWidth="1"/>
    <col min="10" max="10" width="4.5703125" customWidth="1"/>
    <col min="11" max="11" width="7.42578125" hidden="1" customWidth="1"/>
    <col min="12" max="12" width="7.85546875" customWidth="1"/>
    <col min="13" max="13" width="7.7109375" customWidth="1"/>
    <col min="14" max="14" width="10.85546875" customWidth="1"/>
    <col min="15" max="15" width="4" customWidth="1"/>
    <col min="16" max="16" width="8.140625" customWidth="1"/>
  </cols>
  <sheetData>
    <row r="1" spans="1:16" ht="18">
      <c r="A1" s="1" t="s">
        <v>0</v>
      </c>
      <c r="B1" s="2"/>
      <c r="C1" s="3"/>
      <c r="D1" s="4"/>
      <c r="E1" s="5"/>
      <c r="F1" s="3"/>
      <c r="G1" s="6"/>
      <c r="H1" s="7"/>
      <c r="I1" s="7"/>
      <c r="J1" s="8" t="s">
        <v>1</v>
      </c>
      <c r="K1" s="8"/>
      <c r="L1" s="253" t="s">
        <v>353</v>
      </c>
      <c r="M1" s="254"/>
      <c r="N1" s="254"/>
      <c r="O1" s="254"/>
      <c r="P1" s="254"/>
    </row>
    <row r="2" spans="1:16" ht="51">
      <c r="A2" s="9" t="s">
        <v>3</v>
      </c>
      <c r="B2" s="10" t="s">
        <v>4</v>
      </c>
      <c r="C2" s="11" t="s">
        <v>5</v>
      </c>
      <c r="D2" s="12" t="s">
        <v>6</v>
      </c>
      <c r="E2" s="13" t="s">
        <v>7</v>
      </c>
      <c r="F2" s="11" t="s">
        <v>8</v>
      </c>
      <c r="G2" s="11" t="s">
        <v>9</v>
      </c>
      <c r="H2" s="14" t="s">
        <v>10</v>
      </c>
      <c r="I2" s="15" t="s">
        <v>11</v>
      </c>
      <c r="J2" s="16" t="s">
        <v>12</v>
      </c>
      <c r="K2" s="16" t="s">
        <v>13</v>
      </c>
      <c r="L2" s="17" t="s">
        <v>14</v>
      </c>
      <c r="M2" s="18" t="s">
        <v>15</v>
      </c>
      <c r="N2" s="19" t="s">
        <v>16</v>
      </c>
      <c r="O2" s="20" t="s">
        <v>17</v>
      </c>
      <c r="P2" s="21" t="s">
        <v>18</v>
      </c>
    </row>
    <row r="3" spans="1:16" ht="28.5">
      <c r="A3" s="22">
        <v>1</v>
      </c>
      <c r="B3" s="23" t="s">
        <v>19</v>
      </c>
      <c r="C3" s="24" t="s">
        <v>20</v>
      </c>
      <c r="D3" s="25" t="s">
        <v>21</v>
      </c>
      <c r="E3" s="26">
        <v>46082</v>
      </c>
      <c r="F3" s="27">
        <v>66.849999999999994</v>
      </c>
      <c r="G3" s="28">
        <f t="shared" ref="G3:G4" si="0">F3*H3</f>
        <v>200.54999999999998</v>
      </c>
      <c r="H3" s="29">
        <v>3</v>
      </c>
      <c r="I3" s="30">
        <v>24</v>
      </c>
      <c r="J3" s="31"/>
      <c r="K3" s="32"/>
      <c r="L3" s="33">
        <v>0</v>
      </c>
      <c r="M3" s="34">
        <v>20</v>
      </c>
      <c r="N3" s="35">
        <v>4</v>
      </c>
      <c r="O3" s="36"/>
      <c r="P3" s="37">
        <f t="shared" ref="P3:P107" si="1">L3+M3+N3</f>
        <v>24</v>
      </c>
    </row>
    <row r="4" spans="1:16" ht="28.5">
      <c r="A4" s="38">
        <v>2</v>
      </c>
      <c r="B4" s="39" t="s">
        <v>22</v>
      </c>
      <c r="C4" s="40" t="s">
        <v>23</v>
      </c>
      <c r="D4" s="41" t="s">
        <v>24</v>
      </c>
      <c r="E4" s="26">
        <v>46143</v>
      </c>
      <c r="F4" s="27">
        <v>25.44</v>
      </c>
      <c r="G4" s="28">
        <f t="shared" si="0"/>
        <v>101.76</v>
      </c>
      <c r="H4" s="29">
        <v>4</v>
      </c>
      <c r="I4" s="30"/>
      <c r="J4" s="31"/>
      <c r="K4" s="32"/>
      <c r="L4" s="33">
        <v>0</v>
      </c>
      <c r="M4" s="42">
        <v>2</v>
      </c>
      <c r="N4" s="43">
        <v>2</v>
      </c>
      <c r="O4" s="36"/>
      <c r="P4" s="37">
        <f t="shared" si="1"/>
        <v>4</v>
      </c>
    </row>
    <row r="5" spans="1:16" ht="28.5">
      <c r="A5" s="22">
        <v>3</v>
      </c>
      <c r="B5" s="39" t="s">
        <v>22</v>
      </c>
      <c r="C5" s="40" t="s">
        <v>23</v>
      </c>
      <c r="D5" s="41" t="s">
        <v>25</v>
      </c>
      <c r="E5" s="44">
        <v>46539</v>
      </c>
      <c r="F5" s="27">
        <v>42.18</v>
      </c>
      <c r="G5" s="28">
        <f>F5*H5-0.02</f>
        <v>1265.3800000000001</v>
      </c>
      <c r="H5" s="29">
        <v>30</v>
      </c>
      <c r="I5" s="30"/>
      <c r="J5" s="31"/>
      <c r="K5" s="32"/>
      <c r="L5" s="45">
        <f>30-30</f>
        <v>0</v>
      </c>
      <c r="M5" s="34">
        <v>30</v>
      </c>
      <c r="N5" s="43"/>
      <c r="O5" s="36"/>
      <c r="P5" s="37">
        <f t="shared" si="1"/>
        <v>30</v>
      </c>
    </row>
    <row r="6" spans="1:16" ht="28.5">
      <c r="A6" s="22">
        <v>4</v>
      </c>
      <c r="B6" s="39" t="s">
        <v>22</v>
      </c>
      <c r="C6" s="40" t="s">
        <v>23</v>
      </c>
      <c r="D6" s="41" t="s">
        <v>26</v>
      </c>
      <c r="E6" s="26">
        <v>46447</v>
      </c>
      <c r="F6" s="27">
        <v>31.45</v>
      </c>
      <c r="G6" s="28">
        <f>F6*H6-0.05</f>
        <v>628.95000000000005</v>
      </c>
      <c r="H6" s="29">
        <v>20</v>
      </c>
      <c r="I6" s="30"/>
      <c r="J6" s="31"/>
      <c r="K6" s="32"/>
      <c r="L6" s="45">
        <v>20</v>
      </c>
      <c r="M6" s="34"/>
      <c r="N6" s="43"/>
      <c r="O6" s="36"/>
      <c r="P6" s="37">
        <f t="shared" si="1"/>
        <v>20</v>
      </c>
    </row>
    <row r="7" spans="1:16" ht="28.5">
      <c r="A7" s="22">
        <v>5</v>
      </c>
      <c r="B7" s="39" t="s">
        <v>27</v>
      </c>
      <c r="C7" s="40" t="s">
        <v>28</v>
      </c>
      <c r="D7" s="41" t="s">
        <v>29</v>
      </c>
      <c r="E7" s="44">
        <v>46023</v>
      </c>
      <c r="F7" s="27">
        <v>32.185000000000002</v>
      </c>
      <c r="G7" s="28">
        <f t="shared" ref="G7:G10" si="2">F7*H7</f>
        <v>225.29500000000002</v>
      </c>
      <c r="H7" s="29">
        <v>7</v>
      </c>
      <c r="I7" s="30">
        <v>66</v>
      </c>
      <c r="J7" s="31"/>
      <c r="K7" s="32"/>
      <c r="L7" s="45">
        <f>80-40-10-10</f>
        <v>20</v>
      </c>
      <c r="M7" s="34">
        <v>31</v>
      </c>
      <c r="N7" s="35">
        <v>15</v>
      </c>
      <c r="O7" s="36"/>
      <c r="P7" s="37">
        <f t="shared" si="1"/>
        <v>66</v>
      </c>
    </row>
    <row r="8" spans="1:16" ht="14.25">
      <c r="A8" s="22">
        <v>6</v>
      </c>
      <c r="B8" s="39" t="s">
        <v>30</v>
      </c>
      <c r="C8" s="40" t="s">
        <v>28</v>
      </c>
      <c r="D8" s="41" t="s">
        <v>31</v>
      </c>
      <c r="E8" s="44">
        <v>45992</v>
      </c>
      <c r="F8" s="27">
        <v>63.58</v>
      </c>
      <c r="G8" s="28">
        <f t="shared" si="2"/>
        <v>381.48</v>
      </c>
      <c r="H8" s="29">
        <v>6</v>
      </c>
      <c r="I8" s="30">
        <v>293</v>
      </c>
      <c r="J8" s="31"/>
      <c r="K8" s="32"/>
      <c r="L8" s="45">
        <v>0</v>
      </c>
      <c r="M8" s="34">
        <v>293</v>
      </c>
      <c r="N8" s="35"/>
      <c r="O8" s="36"/>
      <c r="P8" s="37">
        <f t="shared" si="1"/>
        <v>293</v>
      </c>
    </row>
    <row r="9" spans="1:16" ht="14.25">
      <c r="A9" s="22">
        <v>7</v>
      </c>
      <c r="B9" s="39" t="s">
        <v>32</v>
      </c>
      <c r="C9" s="40" t="s">
        <v>20</v>
      </c>
      <c r="D9" s="41" t="s">
        <v>33</v>
      </c>
      <c r="E9" s="26">
        <v>46266</v>
      </c>
      <c r="F9" s="27">
        <v>46.16</v>
      </c>
      <c r="G9" s="28">
        <f t="shared" si="2"/>
        <v>369.28</v>
      </c>
      <c r="H9" s="29">
        <v>8</v>
      </c>
      <c r="I9" s="30">
        <v>201</v>
      </c>
      <c r="J9" s="32"/>
      <c r="K9" s="32"/>
      <c r="L9" s="45">
        <f>5*28-1*28-2*28</f>
        <v>56</v>
      </c>
      <c r="M9" s="34">
        <v>89</v>
      </c>
      <c r="N9" s="43">
        <v>56</v>
      </c>
      <c r="O9" s="36"/>
      <c r="P9" s="37">
        <f t="shared" si="1"/>
        <v>201</v>
      </c>
    </row>
    <row r="10" spans="1:16" ht="14.25">
      <c r="A10" s="22">
        <v>8</v>
      </c>
      <c r="B10" s="39" t="s">
        <v>34</v>
      </c>
      <c r="C10" s="40" t="s">
        <v>23</v>
      </c>
      <c r="D10" s="41" t="s">
        <v>35</v>
      </c>
      <c r="E10" s="26">
        <v>46692</v>
      </c>
      <c r="F10" s="46">
        <v>13.942</v>
      </c>
      <c r="G10" s="28">
        <f t="shared" si="2"/>
        <v>13.942</v>
      </c>
      <c r="H10" s="29">
        <v>1</v>
      </c>
      <c r="I10" s="30"/>
      <c r="J10" s="31"/>
      <c r="K10" s="31"/>
      <c r="L10" s="45">
        <v>0</v>
      </c>
      <c r="M10" s="34"/>
      <c r="N10" s="43">
        <v>1</v>
      </c>
      <c r="O10" s="36"/>
      <c r="P10" s="37">
        <f t="shared" si="1"/>
        <v>1</v>
      </c>
    </row>
    <row r="11" spans="1:16" ht="14.25">
      <c r="A11" s="22">
        <v>9</v>
      </c>
      <c r="B11" s="39" t="s">
        <v>36</v>
      </c>
      <c r="C11" s="40" t="s">
        <v>20</v>
      </c>
      <c r="D11" s="41" t="s">
        <v>37</v>
      </c>
      <c r="E11" s="26">
        <v>46600</v>
      </c>
      <c r="F11" s="46">
        <v>27.55</v>
      </c>
      <c r="G11" s="28">
        <f>F11*H11+0.04</f>
        <v>413.29</v>
      </c>
      <c r="H11" s="29">
        <v>15</v>
      </c>
      <c r="I11" s="30">
        <v>150</v>
      </c>
      <c r="J11" s="31"/>
      <c r="K11" s="47"/>
      <c r="L11" s="45">
        <f>150-150</f>
        <v>0</v>
      </c>
      <c r="M11" s="34">
        <v>150</v>
      </c>
      <c r="N11" s="43"/>
      <c r="O11" s="36"/>
      <c r="P11" s="37">
        <f t="shared" si="1"/>
        <v>150</v>
      </c>
    </row>
    <row r="12" spans="1:16" ht="28.5">
      <c r="A12" s="22">
        <v>10</v>
      </c>
      <c r="B12" s="39" t="s">
        <v>38</v>
      </c>
      <c r="C12" s="40" t="s">
        <v>20</v>
      </c>
      <c r="D12" s="41" t="s">
        <v>29</v>
      </c>
      <c r="E12" s="26">
        <v>46784</v>
      </c>
      <c r="F12" s="46">
        <v>26.39</v>
      </c>
      <c r="G12" s="28">
        <f>F12*H12</f>
        <v>5278</v>
      </c>
      <c r="H12" s="29">
        <v>200</v>
      </c>
      <c r="I12" s="30"/>
      <c r="J12" s="31"/>
      <c r="K12" s="47"/>
      <c r="L12" s="45">
        <f>200</f>
        <v>200</v>
      </c>
      <c r="M12" s="34"/>
      <c r="N12" s="43"/>
      <c r="O12" s="36"/>
      <c r="P12" s="37">
        <f t="shared" si="1"/>
        <v>200</v>
      </c>
    </row>
    <row r="13" spans="1:16" ht="14.25">
      <c r="A13" s="22">
        <v>11</v>
      </c>
      <c r="B13" s="39" t="s">
        <v>39</v>
      </c>
      <c r="C13" s="40" t="s">
        <v>20</v>
      </c>
      <c r="D13" s="41" t="s">
        <v>40</v>
      </c>
      <c r="E13" s="44">
        <v>47665</v>
      </c>
      <c r="F13" s="27">
        <v>152.94999999999999</v>
      </c>
      <c r="G13" s="28">
        <f>F13*H13-0.06</f>
        <v>2294.19</v>
      </c>
      <c r="H13" s="29">
        <v>15</v>
      </c>
      <c r="I13" s="30">
        <v>300</v>
      </c>
      <c r="J13" s="31"/>
      <c r="K13" s="31"/>
      <c r="L13" s="45">
        <f>300-300</f>
        <v>0</v>
      </c>
      <c r="M13" s="34">
        <v>300</v>
      </c>
      <c r="N13" s="43"/>
      <c r="O13" s="36"/>
      <c r="P13" s="37">
        <f t="shared" si="1"/>
        <v>300</v>
      </c>
    </row>
    <row r="14" spans="1:16" ht="14.25">
      <c r="A14" s="22">
        <v>12</v>
      </c>
      <c r="B14" s="39" t="s">
        <v>41</v>
      </c>
      <c r="C14" s="40" t="s">
        <v>20</v>
      </c>
      <c r="D14" s="41" t="s">
        <v>37</v>
      </c>
      <c r="E14" s="44">
        <v>47665</v>
      </c>
      <c r="F14" s="27">
        <v>185.31</v>
      </c>
      <c r="G14" s="28">
        <f>F14*H14+0.07</f>
        <v>3706.27</v>
      </c>
      <c r="H14" s="29">
        <v>20</v>
      </c>
      <c r="I14" s="30">
        <v>200</v>
      </c>
      <c r="J14" s="31"/>
      <c r="K14" s="31"/>
      <c r="L14" s="45">
        <f>200-200</f>
        <v>0</v>
      </c>
      <c r="M14" s="34">
        <v>200</v>
      </c>
      <c r="N14" s="43"/>
      <c r="O14" s="36"/>
      <c r="P14" s="37">
        <f t="shared" si="1"/>
        <v>200</v>
      </c>
    </row>
    <row r="15" spans="1:16" ht="28.5">
      <c r="A15" s="22">
        <v>13</v>
      </c>
      <c r="B15" s="39" t="s">
        <v>42</v>
      </c>
      <c r="C15" s="40" t="s">
        <v>43</v>
      </c>
      <c r="D15" s="41" t="s">
        <v>44</v>
      </c>
      <c r="E15" s="44">
        <v>45962</v>
      </c>
      <c r="F15" s="27">
        <v>19.53</v>
      </c>
      <c r="G15" s="48">
        <f t="shared" ref="G15:G21" si="3">F15*H15</f>
        <v>39.06</v>
      </c>
      <c r="H15" s="29">
        <v>2</v>
      </c>
      <c r="I15" s="30"/>
      <c r="J15" s="31"/>
      <c r="K15" s="31"/>
      <c r="L15" s="45">
        <v>0</v>
      </c>
      <c r="M15" s="34">
        <v>2</v>
      </c>
      <c r="N15" s="43">
        <v>0</v>
      </c>
      <c r="O15" s="36"/>
      <c r="P15" s="37">
        <f t="shared" si="1"/>
        <v>2</v>
      </c>
    </row>
    <row r="16" spans="1:16" ht="28.5">
      <c r="A16" s="22">
        <v>14</v>
      </c>
      <c r="B16" s="49" t="s">
        <v>42</v>
      </c>
      <c r="C16" s="40" t="s">
        <v>43</v>
      </c>
      <c r="D16" s="41" t="s">
        <v>44</v>
      </c>
      <c r="E16" s="44">
        <v>45962</v>
      </c>
      <c r="F16" s="27">
        <v>19.53</v>
      </c>
      <c r="G16" s="48">
        <f t="shared" si="3"/>
        <v>19.53</v>
      </c>
      <c r="H16" s="29">
        <v>1</v>
      </c>
      <c r="I16" s="30"/>
      <c r="J16" s="31"/>
      <c r="K16" s="31"/>
      <c r="L16" s="45">
        <v>0</v>
      </c>
      <c r="M16" s="34">
        <v>1</v>
      </c>
      <c r="N16" s="43"/>
      <c r="O16" s="36"/>
      <c r="P16" s="37">
        <f t="shared" si="1"/>
        <v>1</v>
      </c>
    </row>
    <row r="17" spans="1:16" ht="14.25">
      <c r="A17" s="22">
        <v>15</v>
      </c>
      <c r="B17" s="50" t="s">
        <v>45</v>
      </c>
      <c r="C17" s="51" t="s">
        <v>43</v>
      </c>
      <c r="D17" s="41" t="s">
        <v>44</v>
      </c>
      <c r="E17" s="26">
        <v>46447</v>
      </c>
      <c r="F17" s="46">
        <v>22</v>
      </c>
      <c r="G17" s="28">
        <f t="shared" si="3"/>
        <v>66</v>
      </c>
      <c r="H17" s="29">
        <v>3</v>
      </c>
      <c r="I17" s="30"/>
      <c r="J17" s="31"/>
      <c r="K17" s="31"/>
      <c r="L17" s="45">
        <v>0</v>
      </c>
      <c r="M17" s="34">
        <v>2</v>
      </c>
      <c r="N17" s="35">
        <v>1</v>
      </c>
      <c r="O17" s="36"/>
      <c r="P17" s="37">
        <f t="shared" si="1"/>
        <v>3</v>
      </c>
    </row>
    <row r="18" spans="1:16" ht="14.25">
      <c r="A18" s="38">
        <v>16</v>
      </c>
      <c r="B18" s="52" t="s">
        <v>45</v>
      </c>
      <c r="C18" s="51" t="s">
        <v>43</v>
      </c>
      <c r="D18" s="41" t="s">
        <v>44</v>
      </c>
      <c r="E18" s="26">
        <v>46447</v>
      </c>
      <c r="F18" s="46">
        <v>22</v>
      </c>
      <c r="G18" s="28">
        <f t="shared" si="3"/>
        <v>22</v>
      </c>
      <c r="H18" s="29">
        <v>1</v>
      </c>
      <c r="I18" s="30"/>
      <c r="J18" s="31"/>
      <c r="K18" s="31"/>
      <c r="L18" s="45">
        <v>0</v>
      </c>
      <c r="M18" s="34">
        <v>0</v>
      </c>
      <c r="N18" s="35">
        <v>1</v>
      </c>
      <c r="O18" s="36"/>
      <c r="P18" s="37">
        <f t="shared" si="1"/>
        <v>1</v>
      </c>
    </row>
    <row r="19" spans="1:16" ht="28.5">
      <c r="A19" s="22">
        <v>17</v>
      </c>
      <c r="B19" s="53" t="s">
        <v>46</v>
      </c>
      <c r="C19" s="51" t="s">
        <v>47</v>
      </c>
      <c r="D19" s="41" t="s">
        <v>48</v>
      </c>
      <c r="E19" s="26">
        <v>47119</v>
      </c>
      <c r="F19" s="27">
        <v>7.5330000000000004</v>
      </c>
      <c r="G19" s="28">
        <f t="shared" si="3"/>
        <v>150.66</v>
      </c>
      <c r="H19" s="29">
        <v>20</v>
      </c>
      <c r="I19" s="30"/>
      <c r="J19" s="31"/>
      <c r="K19" s="31"/>
      <c r="L19" s="45">
        <v>0</v>
      </c>
      <c r="M19" s="34">
        <v>20</v>
      </c>
      <c r="N19" s="35"/>
      <c r="O19" s="36"/>
      <c r="P19" s="37">
        <f t="shared" si="1"/>
        <v>20</v>
      </c>
    </row>
    <row r="20" spans="1:16" ht="28.5">
      <c r="A20" s="22">
        <v>18</v>
      </c>
      <c r="B20" s="53" t="s">
        <v>49</v>
      </c>
      <c r="C20" s="51" t="s">
        <v>47</v>
      </c>
      <c r="D20" s="41" t="s">
        <v>37</v>
      </c>
      <c r="E20" s="26">
        <v>47484</v>
      </c>
      <c r="F20" s="27">
        <v>70.14</v>
      </c>
      <c r="G20" s="28">
        <f t="shared" si="3"/>
        <v>210.42000000000002</v>
      </c>
      <c r="H20" s="29">
        <v>3</v>
      </c>
      <c r="I20" s="30">
        <v>30</v>
      </c>
      <c r="J20" s="31"/>
      <c r="K20" s="31"/>
      <c r="L20" s="45">
        <f>30-10-20</f>
        <v>0</v>
      </c>
      <c r="M20" s="34">
        <v>20</v>
      </c>
      <c r="N20" s="35">
        <v>10</v>
      </c>
      <c r="O20" s="36"/>
      <c r="P20" s="37">
        <f t="shared" si="1"/>
        <v>30</v>
      </c>
    </row>
    <row r="21" spans="1:16" ht="28.5">
      <c r="A21" s="22">
        <v>19</v>
      </c>
      <c r="B21" s="54" t="s">
        <v>50</v>
      </c>
      <c r="C21" s="40" t="s">
        <v>20</v>
      </c>
      <c r="D21" s="41" t="s">
        <v>51</v>
      </c>
      <c r="E21" s="26">
        <v>46447</v>
      </c>
      <c r="F21" s="27">
        <v>17.3</v>
      </c>
      <c r="G21" s="28">
        <f t="shared" si="3"/>
        <v>2560.4</v>
      </c>
      <c r="H21" s="29">
        <v>148</v>
      </c>
      <c r="I21" s="30">
        <v>740</v>
      </c>
      <c r="J21" s="31"/>
      <c r="K21" s="31"/>
      <c r="L21" s="45">
        <f>44*5</f>
        <v>220</v>
      </c>
      <c r="M21" s="42">
        <v>133</v>
      </c>
      <c r="N21" s="35">
        <v>387</v>
      </c>
      <c r="O21" s="36"/>
      <c r="P21" s="37">
        <f t="shared" si="1"/>
        <v>740</v>
      </c>
    </row>
    <row r="22" spans="1:16" ht="14.25">
      <c r="A22" s="38">
        <v>20</v>
      </c>
      <c r="B22" s="39" t="s">
        <v>52</v>
      </c>
      <c r="C22" s="40" t="s">
        <v>20</v>
      </c>
      <c r="D22" s="41" t="s">
        <v>53</v>
      </c>
      <c r="E22" s="26">
        <v>46419</v>
      </c>
      <c r="F22" s="27">
        <v>21.914000000000001</v>
      </c>
      <c r="G22" s="28">
        <f t="shared" ref="G22:G23" si="4">F22*H22-0.01</f>
        <v>43.818000000000005</v>
      </c>
      <c r="H22" s="29">
        <v>2</v>
      </c>
      <c r="I22" s="30">
        <v>20</v>
      </c>
      <c r="J22" s="31"/>
      <c r="K22" s="31"/>
      <c r="L22" s="45">
        <f>2*10</f>
        <v>20</v>
      </c>
      <c r="M22" s="34"/>
      <c r="N22" s="35"/>
      <c r="O22" s="36"/>
      <c r="P22" s="37">
        <f t="shared" si="1"/>
        <v>20</v>
      </c>
    </row>
    <row r="23" spans="1:16" ht="14.25">
      <c r="A23" s="22">
        <v>21</v>
      </c>
      <c r="B23" s="49" t="s">
        <v>52</v>
      </c>
      <c r="C23" s="40" t="s">
        <v>20</v>
      </c>
      <c r="D23" s="41" t="s">
        <v>53</v>
      </c>
      <c r="E23" s="26">
        <v>46419</v>
      </c>
      <c r="F23" s="27">
        <v>21.914000000000001</v>
      </c>
      <c r="G23" s="28">
        <f t="shared" si="4"/>
        <v>109.56</v>
      </c>
      <c r="H23" s="29">
        <v>5</v>
      </c>
      <c r="I23" s="30">
        <v>41</v>
      </c>
      <c r="J23" s="31"/>
      <c r="K23" s="31"/>
      <c r="L23" s="45">
        <v>0</v>
      </c>
      <c r="M23" s="34">
        <v>0</v>
      </c>
      <c r="N23" s="35">
        <v>41</v>
      </c>
      <c r="O23" s="36"/>
      <c r="P23" s="37">
        <f t="shared" si="1"/>
        <v>41</v>
      </c>
    </row>
    <row r="24" spans="1:16" ht="28.5">
      <c r="A24" s="22">
        <v>22</v>
      </c>
      <c r="B24" s="54" t="s">
        <v>54</v>
      </c>
      <c r="C24" s="40" t="s">
        <v>20</v>
      </c>
      <c r="D24" s="41" t="s">
        <v>53</v>
      </c>
      <c r="E24" s="26">
        <v>46722</v>
      </c>
      <c r="F24" s="27">
        <v>27.07</v>
      </c>
      <c r="G24" s="28">
        <f t="shared" ref="G24:G27" si="5">F24*H24</f>
        <v>270.7</v>
      </c>
      <c r="H24" s="29">
        <v>10</v>
      </c>
      <c r="I24" s="30">
        <v>100</v>
      </c>
      <c r="J24" s="31"/>
      <c r="K24" s="31"/>
      <c r="L24" s="55">
        <f>10*10</f>
        <v>100</v>
      </c>
      <c r="M24" s="34"/>
      <c r="N24" s="35"/>
      <c r="O24" s="36"/>
      <c r="P24" s="37">
        <f t="shared" si="1"/>
        <v>100</v>
      </c>
    </row>
    <row r="25" spans="1:16" ht="14.25">
      <c r="A25" s="22">
        <v>23</v>
      </c>
      <c r="B25" s="39" t="s">
        <v>55</v>
      </c>
      <c r="C25" s="40" t="s">
        <v>28</v>
      </c>
      <c r="D25" s="41" t="s">
        <v>56</v>
      </c>
      <c r="E25" s="26">
        <v>46054</v>
      </c>
      <c r="F25" s="27">
        <v>21.19</v>
      </c>
      <c r="G25" s="48">
        <f t="shared" si="5"/>
        <v>42.38</v>
      </c>
      <c r="H25" s="29">
        <v>2</v>
      </c>
      <c r="I25" s="30">
        <v>20</v>
      </c>
      <c r="J25" s="31"/>
      <c r="K25" s="31"/>
      <c r="L25" s="45">
        <v>0</v>
      </c>
      <c r="M25" s="34">
        <v>10</v>
      </c>
      <c r="N25" s="35">
        <v>10</v>
      </c>
      <c r="O25" s="36"/>
      <c r="P25" s="37">
        <f t="shared" si="1"/>
        <v>20</v>
      </c>
    </row>
    <row r="26" spans="1:16" ht="42.75">
      <c r="A26" s="22">
        <v>24</v>
      </c>
      <c r="B26" s="39" t="s">
        <v>57</v>
      </c>
      <c r="C26" s="40" t="s">
        <v>20</v>
      </c>
      <c r="D26" s="41" t="s">
        <v>37</v>
      </c>
      <c r="E26" s="44">
        <v>47058</v>
      </c>
      <c r="F26" s="46">
        <v>607.61</v>
      </c>
      <c r="G26" s="48">
        <f t="shared" si="5"/>
        <v>607.61</v>
      </c>
      <c r="H26" s="29">
        <v>1</v>
      </c>
      <c r="I26" s="30">
        <v>10</v>
      </c>
      <c r="J26" s="31"/>
      <c r="K26" s="31"/>
      <c r="L26" s="45">
        <v>10</v>
      </c>
      <c r="M26" s="34">
        <v>10</v>
      </c>
      <c r="N26" s="43"/>
      <c r="O26" s="36"/>
      <c r="P26" s="37">
        <f t="shared" si="1"/>
        <v>20</v>
      </c>
    </row>
    <row r="27" spans="1:16" ht="28.5">
      <c r="A27" s="22">
        <v>25</v>
      </c>
      <c r="B27" s="39" t="s">
        <v>58</v>
      </c>
      <c r="C27" s="40" t="s">
        <v>20</v>
      </c>
      <c r="D27" s="41" t="s">
        <v>59</v>
      </c>
      <c r="E27" s="44">
        <v>45962</v>
      </c>
      <c r="F27" s="46">
        <v>373.4</v>
      </c>
      <c r="G27" s="28">
        <f t="shared" si="5"/>
        <v>373.4</v>
      </c>
      <c r="H27" s="29">
        <v>1</v>
      </c>
      <c r="I27" s="30">
        <v>10</v>
      </c>
      <c r="J27" s="31"/>
      <c r="K27" s="31"/>
      <c r="L27" s="45">
        <v>0</v>
      </c>
      <c r="M27" s="34">
        <v>10</v>
      </c>
      <c r="N27" s="43">
        <v>0</v>
      </c>
      <c r="O27" s="36"/>
      <c r="P27" s="37">
        <f t="shared" si="1"/>
        <v>10</v>
      </c>
    </row>
    <row r="28" spans="1:16" ht="28.5">
      <c r="A28" s="22">
        <v>26</v>
      </c>
      <c r="B28" s="39" t="s">
        <v>60</v>
      </c>
      <c r="C28" s="40" t="s">
        <v>20</v>
      </c>
      <c r="D28" s="41" t="s">
        <v>61</v>
      </c>
      <c r="E28" s="26">
        <v>46935</v>
      </c>
      <c r="F28" s="46">
        <v>71.239999999999995</v>
      </c>
      <c r="G28" s="28">
        <f>F28*H28+0.01</f>
        <v>712.41</v>
      </c>
      <c r="H28" s="29">
        <v>10</v>
      </c>
      <c r="I28" s="56">
        <v>50</v>
      </c>
      <c r="J28" s="31"/>
      <c r="K28" s="31"/>
      <c r="L28" s="45">
        <f>50-5</f>
        <v>45</v>
      </c>
      <c r="M28" s="34"/>
      <c r="N28" s="43">
        <v>5</v>
      </c>
      <c r="O28" s="36"/>
      <c r="P28" s="37">
        <f t="shared" si="1"/>
        <v>50</v>
      </c>
    </row>
    <row r="29" spans="1:16" ht="28.5">
      <c r="A29" s="22">
        <v>27</v>
      </c>
      <c r="B29" s="39" t="s">
        <v>60</v>
      </c>
      <c r="C29" s="40"/>
      <c r="D29" s="41" t="s">
        <v>62</v>
      </c>
      <c r="E29" s="26">
        <v>45931</v>
      </c>
      <c r="F29" s="46">
        <v>24.716999999999999</v>
      </c>
      <c r="G29" s="28">
        <f t="shared" ref="G29:G31" si="6">F29*H29</f>
        <v>0</v>
      </c>
      <c r="H29" s="29">
        <v>0</v>
      </c>
      <c r="I29" s="56">
        <v>0</v>
      </c>
      <c r="J29" s="31"/>
      <c r="K29" s="31"/>
      <c r="L29" s="45">
        <v>0</v>
      </c>
      <c r="M29" s="34">
        <v>0</v>
      </c>
      <c r="N29" s="43">
        <v>0</v>
      </c>
      <c r="O29" s="36"/>
      <c r="P29" s="37">
        <f t="shared" si="1"/>
        <v>0</v>
      </c>
    </row>
    <row r="30" spans="1:16" ht="28.5">
      <c r="A30" s="22">
        <v>28</v>
      </c>
      <c r="B30" s="49" t="s">
        <v>63</v>
      </c>
      <c r="C30" s="40" t="s">
        <v>20</v>
      </c>
      <c r="D30" s="41" t="s">
        <v>64</v>
      </c>
      <c r="E30" s="26">
        <v>46023</v>
      </c>
      <c r="F30" s="27">
        <v>37.31</v>
      </c>
      <c r="G30" s="28">
        <f t="shared" si="6"/>
        <v>37.31</v>
      </c>
      <c r="H30" s="29">
        <v>1</v>
      </c>
      <c r="I30" s="56">
        <v>10</v>
      </c>
      <c r="J30" s="57"/>
      <c r="K30" s="57"/>
      <c r="L30" s="33">
        <v>0</v>
      </c>
      <c r="M30" s="34"/>
      <c r="N30" s="35">
        <v>10</v>
      </c>
      <c r="O30" s="36"/>
      <c r="P30" s="37">
        <f t="shared" si="1"/>
        <v>10</v>
      </c>
    </row>
    <row r="31" spans="1:16" ht="28.5">
      <c r="A31" s="22">
        <v>29</v>
      </c>
      <c r="B31" s="54" t="s">
        <v>65</v>
      </c>
      <c r="C31" s="40" t="s">
        <v>20</v>
      </c>
      <c r="D31" s="41" t="s">
        <v>64</v>
      </c>
      <c r="E31" s="26">
        <v>46235</v>
      </c>
      <c r="F31" s="27">
        <v>38.840000000000003</v>
      </c>
      <c r="G31" s="28">
        <f t="shared" si="6"/>
        <v>116.52000000000001</v>
      </c>
      <c r="H31" s="29">
        <v>3</v>
      </c>
      <c r="I31" s="30">
        <v>23</v>
      </c>
      <c r="J31" s="32"/>
      <c r="K31" s="32"/>
      <c r="L31" s="33">
        <v>0</v>
      </c>
      <c r="M31" s="34">
        <v>13</v>
      </c>
      <c r="N31" s="35">
        <v>10</v>
      </c>
      <c r="O31" s="36"/>
      <c r="P31" s="37">
        <f t="shared" si="1"/>
        <v>23</v>
      </c>
    </row>
    <row r="32" spans="1:16" ht="14.25">
      <c r="A32" s="22">
        <v>30</v>
      </c>
      <c r="B32" s="49" t="s">
        <v>66</v>
      </c>
      <c r="C32" s="40" t="s">
        <v>20</v>
      </c>
      <c r="D32" s="41" t="s">
        <v>67</v>
      </c>
      <c r="E32" s="44">
        <v>46966</v>
      </c>
      <c r="F32" s="27">
        <v>106.67</v>
      </c>
      <c r="G32" s="28">
        <f>F32*H32-0.03</f>
        <v>2133.37</v>
      </c>
      <c r="H32" s="29">
        <v>20</v>
      </c>
      <c r="I32" s="30">
        <v>400</v>
      </c>
      <c r="J32" s="31"/>
      <c r="K32" s="47"/>
      <c r="L32" s="45">
        <f>400-400</f>
        <v>0</v>
      </c>
      <c r="M32" s="34">
        <v>400</v>
      </c>
      <c r="N32" s="43"/>
      <c r="O32" s="36"/>
      <c r="P32" s="37">
        <f t="shared" si="1"/>
        <v>400</v>
      </c>
    </row>
    <row r="33" spans="1:16" ht="14.25">
      <c r="A33" s="22">
        <v>31</v>
      </c>
      <c r="B33" s="49" t="s">
        <v>68</v>
      </c>
      <c r="C33" s="40" t="s">
        <v>20</v>
      </c>
      <c r="D33" s="41" t="s">
        <v>67</v>
      </c>
      <c r="E33" s="44">
        <v>46082</v>
      </c>
      <c r="F33" s="27">
        <v>37.8673</v>
      </c>
      <c r="G33" s="28">
        <f t="shared" ref="G33:G35" si="7">F33*H33</f>
        <v>454.4076</v>
      </c>
      <c r="H33" s="29">
        <v>12</v>
      </c>
      <c r="I33" s="30">
        <v>237</v>
      </c>
      <c r="J33" s="31"/>
      <c r="K33" s="47"/>
      <c r="L33" s="45"/>
      <c r="M33" s="34">
        <v>237</v>
      </c>
      <c r="N33" s="43"/>
      <c r="O33" s="36"/>
      <c r="P33" s="37">
        <f t="shared" si="1"/>
        <v>237</v>
      </c>
    </row>
    <row r="34" spans="1:16" ht="14.25">
      <c r="A34" s="22">
        <v>32</v>
      </c>
      <c r="B34" s="23" t="s">
        <v>69</v>
      </c>
      <c r="C34" s="40" t="s">
        <v>20</v>
      </c>
      <c r="D34" s="41" t="s">
        <v>67</v>
      </c>
      <c r="E34" s="44">
        <v>46419</v>
      </c>
      <c r="F34" s="27">
        <v>37.229999999999997</v>
      </c>
      <c r="G34" s="28">
        <f t="shared" si="7"/>
        <v>335.07</v>
      </c>
      <c r="H34" s="29">
        <v>9</v>
      </c>
      <c r="I34" s="30">
        <v>169</v>
      </c>
      <c r="J34" s="31"/>
      <c r="K34" s="47"/>
      <c r="L34" s="45">
        <v>0</v>
      </c>
      <c r="M34" s="34">
        <v>169</v>
      </c>
      <c r="N34" s="43">
        <v>0</v>
      </c>
      <c r="O34" s="36"/>
      <c r="P34" s="37">
        <f t="shared" si="1"/>
        <v>169</v>
      </c>
    </row>
    <row r="35" spans="1:16" ht="14.25">
      <c r="A35" s="38">
        <v>33</v>
      </c>
      <c r="B35" s="23" t="s">
        <v>69</v>
      </c>
      <c r="C35" s="40" t="s">
        <v>20</v>
      </c>
      <c r="D35" s="41" t="s">
        <v>67</v>
      </c>
      <c r="E35" s="44">
        <v>46508</v>
      </c>
      <c r="F35" s="58">
        <v>36.549999999999997</v>
      </c>
      <c r="G35" s="28">
        <f t="shared" si="7"/>
        <v>73.099999999999994</v>
      </c>
      <c r="H35" s="29">
        <v>2</v>
      </c>
      <c r="I35" s="30">
        <v>40</v>
      </c>
      <c r="J35" s="59"/>
      <c r="K35" s="57"/>
      <c r="L35" s="33">
        <v>40</v>
      </c>
      <c r="M35" s="34"/>
      <c r="N35" s="35"/>
      <c r="O35" s="36"/>
      <c r="P35" s="37">
        <f t="shared" si="1"/>
        <v>40</v>
      </c>
    </row>
    <row r="36" spans="1:16" ht="14.25">
      <c r="A36" s="38">
        <v>34</v>
      </c>
      <c r="B36" s="23" t="s">
        <v>69</v>
      </c>
      <c r="C36" s="40" t="s">
        <v>20</v>
      </c>
      <c r="D36" s="41" t="s">
        <v>67</v>
      </c>
      <c r="E36" s="44">
        <v>46874</v>
      </c>
      <c r="F36" s="58">
        <v>67.97</v>
      </c>
      <c r="G36" s="28">
        <f>F36*H36-0.17</f>
        <v>3262.39</v>
      </c>
      <c r="H36" s="29">
        <v>48</v>
      </c>
      <c r="I36" s="30">
        <v>960</v>
      </c>
      <c r="J36" s="59"/>
      <c r="K36" s="57"/>
      <c r="L36" s="33">
        <v>960</v>
      </c>
      <c r="M36" s="34"/>
      <c r="N36" s="35"/>
      <c r="O36" s="36"/>
      <c r="P36" s="37">
        <f t="shared" si="1"/>
        <v>960</v>
      </c>
    </row>
    <row r="37" spans="1:16" ht="28.5">
      <c r="A37" s="38">
        <v>35</v>
      </c>
      <c r="B37" s="39" t="s">
        <v>70</v>
      </c>
      <c r="C37" s="40" t="s">
        <v>20</v>
      </c>
      <c r="D37" s="41" t="s">
        <v>71</v>
      </c>
      <c r="E37" s="44">
        <v>46997</v>
      </c>
      <c r="F37" s="58">
        <v>54.31</v>
      </c>
      <c r="G37" s="28">
        <f>F37*H37+0.01</f>
        <v>162.94</v>
      </c>
      <c r="H37" s="29">
        <v>3</v>
      </c>
      <c r="I37" s="30">
        <v>150</v>
      </c>
      <c r="J37" s="59"/>
      <c r="K37" s="57"/>
      <c r="L37" s="33">
        <f>150-150</f>
        <v>0</v>
      </c>
      <c r="M37" s="34">
        <v>150</v>
      </c>
      <c r="N37" s="35"/>
      <c r="O37" s="36"/>
      <c r="P37" s="37">
        <f t="shared" si="1"/>
        <v>150</v>
      </c>
    </row>
    <row r="38" spans="1:16" ht="14.25">
      <c r="A38" s="38">
        <v>36</v>
      </c>
      <c r="B38" s="39" t="s">
        <v>72</v>
      </c>
      <c r="C38" s="40" t="s">
        <v>23</v>
      </c>
      <c r="D38" s="41" t="s">
        <v>73</v>
      </c>
      <c r="E38" s="44">
        <v>46753</v>
      </c>
      <c r="F38" s="58">
        <v>46.72</v>
      </c>
      <c r="G38" s="28">
        <f>F38*H38-0.06</f>
        <v>700.74</v>
      </c>
      <c r="H38" s="29">
        <v>15</v>
      </c>
      <c r="I38" s="30"/>
      <c r="J38" s="59"/>
      <c r="K38" s="57"/>
      <c r="L38" s="33">
        <f>15-15</f>
        <v>0</v>
      </c>
      <c r="M38" s="34">
        <v>15</v>
      </c>
      <c r="N38" s="35"/>
      <c r="O38" s="36"/>
      <c r="P38" s="37">
        <f t="shared" si="1"/>
        <v>15</v>
      </c>
    </row>
    <row r="39" spans="1:16" ht="28.5">
      <c r="A39" s="38">
        <v>37</v>
      </c>
      <c r="B39" s="39" t="s">
        <v>74</v>
      </c>
      <c r="C39" s="40" t="s">
        <v>20</v>
      </c>
      <c r="D39" s="41" t="s">
        <v>37</v>
      </c>
      <c r="E39" s="44">
        <v>47515</v>
      </c>
      <c r="F39" s="58">
        <v>77.09</v>
      </c>
      <c r="G39" s="28">
        <f t="shared" ref="G39:G50" si="8">F39*H39</f>
        <v>77.09</v>
      </c>
      <c r="H39" s="29">
        <v>1</v>
      </c>
      <c r="I39" s="30">
        <v>10</v>
      </c>
      <c r="J39" s="59"/>
      <c r="K39" s="57"/>
      <c r="L39" s="33">
        <f>10-10</f>
        <v>0</v>
      </c>
      <c r="M39" s="34">
        <v>10</v>
      </c>
      <c r="N39" s="35"/>
      <c r="O39" s="36"/>
      <c r="P39" s="37">
        <f t="shared" si="1"/>
        <v>10</v>
      </c>
    </row>
    <row r="40" spans="1:16" ht="14.25">
      <c r="A40" s="38">
        <v>38</v>
      </c>
      <c r="B40" s="39" t="s">
        <v>75</v>
      </c>
      <c r="C40" s="40" t="s">
        <v>76</v>
      </c>
      <c r="D40" s="41" t="s">
        <v>77</v>
      </c>
      <c r="E40" s="44">
        <v>46113</v>
      </c>
      <c r="F40" s="58">
        <v>152.881666</v>
      </c>
      <c r="G40" s="28">
        <f t="shared" si="8"/>
        <v>4433.5683140000001</v>
      </c>
      <c r="H40" s="29">
        <v>29</v>
      </c>
      <c r="I40" s="30"/>
      <c r="J40" s="59"/>
      <c r="K40" s="57"/>
      <c r="L40" s="33">
        <v>0</v>
      </c>
      <c r="M40" s="34">
        <v>15</v>
      </c>
      <c r="N40" s="35">
        <v>14</v>
      </c>
      <c r="O40" s="36"/>
      <c r="P40" s="37">
        <f t="shared" si="1"/>
        <v>29</v>
      </c>
    </row>
    <row r="41" spans="1:16" ht="14.25">
      <c r="A41" s="22">
        <v>39</v>
      </c>
      <c r="B41" s="39" t="s">
        <v>78</v>
      </c>
      <c r="C41" s="40" t="s">
        <v>20</v>
      </c>
      <c r="D41" s="41" t="s">
        <v>79</v>
      </c>
      <c r="E41" s="44">
        <v>46174</v>
      </c>
      <c r="F41" s="27">
        <v>11.3</v>
      </c>
      <c r="G41" s="28">
        <f t="shared" si="8"/>
        <v>45.2</v>
      </c>
      <c r="H41" s="29">
        <v>4</v>
      </c>
      <c r="I41" s="30">
        <v>40</v>
      </c>
      <c r="J41" s="59"/>
      <c r="K41" s="57"/>
      <c r="L41" s="33">
        <v>0</v>
      </c>
      <c r="M41" s="34">
        <v>40</v>
      </c>
      <c r="N41" s="35"/>
      <c r="O41" s="36"/>
      <c r="P41" s="37">
        <f t="shared" si="1"/>
        <v>40</v>
      </c>
    </row>
    <row r="42" spans="1:16" ht="28.5">
      <c r="A42" s="22">
        <v>40</v>
      </c>
      <c r="B42" s="39" t="s">
        <v>80</v>
      </c>
      <c r="C42" s="40" t="s">
        <v>20</v>
      </c>
      <c r="D42" s="41" t="s">
        <v>81</v>
      </c>
      <c r="E42" s="44">
        <v>46692</v>
      </c>
      <c r="F42" s="27">
        <v>25.3</v>
      </c>
      <c r="G42" s="28">
        <f t="shared" si="8"/>
        <v>177.1</v>
      </c>
      <c r="H42" s="29">
        <v>7</v>
      </c>
      <c r="I42" s="30">
        <v>70</v>
      </c>
      <c r="J42" s="31"/>
      <c r="K42" s="31"/>
      <c r="L42" s="45">
        <f>10*10-10*10</f>
        <v>0</v>
      </c>
      <c r="M42" s="34">
        <v>70</v>
      </c>
      <c r="N42" s="43"/>
      <c r="O42" s="36"/>
      <c r="P42" s="37">
        <f t="shared" si="1"/>
        <v>70</v>
      </c>
    </row>
    <row r="43" spans="1:16" ht="28.5">
      <c r="A43" s="22">
        <v>41</v>
      </c>
      <c r="B43" s="49" t="s">
        <v>80</v>
      </c>
      <c r="C43" s="40" t="s">
        <v>20</v>
      </c>
      <c r="D43" s="41" t="s">
        <v>81</v>
      </c>
      <c r="E43" s="44">
        <v>46692</v>
      </c>
      <c r="F43" s="27">
        <v>25.3</v>
      </c>
      <c r="G43" s="28">
        <f t="shared" si="8"/>
        <v>50.6</v>
      </c>
      <c r="H43" s="29">
        <v>2</v>
      </c>
      <c r="I43" s="30">
        <v>11</v>
      </c>
      <c r="J43" s="31"/>
      <c r="K43" s="31"/>
      <c r="L43" s="45">
        <v>0</v>
      </c>
      <c r="M43" s="34">
        <v>11</v>
      </c>
      <c r="N43" s="43"/>
      <c r="O43" s="36"/>
      <c r="P43" s="37">
        <f t="shared" si="1"/>
        <v>11</v>
      </c>
    </row>
    <row r="44" spans="1:16" ht="28.5">
      <c r="A44" s="22">
        <v>42</v>
      </c>
      <c r="B44" s="54" t="s">
        <v>82</v>
      </c>
      <c r="C44" s="40" t="s">
        <v>20</v>
      </c>
      <c r="D44" s="41" t="s">
        <v>81</v>
      </c>
      <c r="E44" s="44">
        <v>47150</v>
      </c>
      <c r="F44" s="27">
        <v>31.02</v>
      </c>
      <c r="G44" s="28">
        <f t="shared" si="8"/>
        <v>961.62</v>
      </c>
      <c r="H44" s="29">
        <v>31</v>
      </c>
      <c r="I44" s="30">
        <v>310</v>
      </c>
      <c r="J44" s="31"/>
      <c r="K44" s="31"/>
      <c r="L44" s="45">
        <f>31*10</f>
        <v>310</v>
      </c>
      <c r="M44" s="34"/>
      <c r="N44" s="60"/>
      <c r="O44" s="36"/>
      <c r="P44" s="37">
        <f t="shared" si="1"/>
        <v>310</v>
      </c>
    </row>
    <row r="45" spans="1:16" ht="14.25">
      <c r="A45" s="22">
        <v>43</v>
      </c>
      <c r="B45" s="39" t="s">
        <v>83</v>
      </c>
      <c r="C45" s="40" t="s">
        <v>20</v>
      </c>
      <c r="D45" s="41" t="s">
        <v>84</v>
      </c>
      <c r="E45" s="26">
        <v>46266</v>
      </c>
      <c r="F45" s="27">
        <v>90.63</v>
      </c>
      <c r="G45" s="28">
        <f t="shared" si="8"/>
        <v>271.89</v>
      </c>
      <c r="H45" s="29">
        <v>3</v>
      </c>
      <c r="I45" s="30">
        <v>29</v>
      </c>
      <c r="J45" s="31"/>
      <c r="K45" s="32"/>
      <c r="L45" s="33">
        <v>0</v>
      </c>
      <c r="M45" s="42">
        <v>20</v>
      </c>
      <c r="N45" s="35">
        <v>10</v>
      </c>
      <c r="O45" s="36"/>
      <c r="P45" s="37">
        <f t="shared" si="1"/>
        <v>30</v>
      </c>
    </row>
    <row r="46" spans="1:16" ht="14.25">
      <c r="A46" s="22">
        <v>44</v>
      </c>
      <c r="B46" s="49" t="s">
        <v>83</v>
      </c>
      <c r="C46" s="40" t="s">
        <v>20</v>
      </c>
      <c r="D46" s="41" t="s">
        <v>84</v>
      </c>
      <c r="E46" s="26">
        <v>46266</v>
      </c>
      <c r="F46" s="27">
        <v>90.63</v>
      </c>
      <c r="G46" s="28">
        <f t="shared" si="8"/>
        <v>90.63</v>
      </c>
      <c r="H46" s="29">
        <v>1</v>
      </c>
      <c r="I46" s="30">
        <v>4</v>
      </c>
      <c r="J46" s="31"/>
      <c r="K46" s="32"/>
      <c r="L46" s="33">
        <v>0</v>
      </c>
      <c r="M46" s="42">
        <v>4</v>
      </c>
      <c r="N46" s="35"/>
      <c r="O46" s="36"/>
      <c r="P46" s="37">
        <f t="shared" si="1"/>
        <v>4</v>
      </c>
    </row>
    <row r="47" spans="1:16" ht="14.25">
      <c r="A47" s="22">
        <v>45</v>
      </c>
      <c r="B47" s="39" t="s">
        <v>85</v>
      </c>
      <c r="C47" s="40" t="s">
        <v>20</v>
      </c>
      <c r="D47" s="41" t="s">
        <v>86</v>
      </c>
      <c r="E47" s="26">
        <v>45931</v>
      </c>
      <c r="F47" s="27">
        <v>41.815330000000003</v>
      </c>
      <c r="G47" s="28">
        <f t="shared" si="8"/>
        <v>0</v>
      </c>
      <c r="H47" s="29">
        <v>0</v>
      </c>
      <c r="I47" s="30">
        <v>0</v>
      </c>
      <c r="J47" s="31"/>
      <c r="K47" s="32"/>
      <c r="L47" s="33">
        <v>0</v>
      </c>
      <c r="M47" s="42">
        <v>0</v>
      </c>
      <c r="N47" s="35">
        <v>0</v>
      </c>
      <c r="O47" s="36"/>
      <c r="P47" s="37">
        <f t="shared" si="1"/>
        <v>0</v>
      </c>
    </row>
    <row r="48" spans="1:16" ht="28.5">
      <c r="A48" s="22">
        <v>46</v>
      </c>
      <c r="B48" s="49" t="s">
        <v>87</v>
      </c>
      <c r="C48" s="40" t="s">
        <v>20</v>
      </c>
      <c r="D48" s="41" t="s">
        <v>81</v>
      </c>
      <c r="E48" s="26">
        <v>46539</v>
      </c>
      <c r="F48" s="27">
        <v>18.309999999999999</v>
      </c>
      <c r="G48" s="28">
        <f t="shared" si="8"/>
        <v>109.85999999999999</v>
      </c>
      <c r="H48" s="29">
        <v>6</v>
      </c>
      <c r="I48" s="30">
        <v>57</v>
      </c>
      <c r="J48" s="31"/>
      <c r="K48" s="32"/>
      <c r="L48" s="33">
        <v>0</v>
      </c>
      <c r="M48" s="34">
        <v>7</v>
      </c>
      <c r="N48" s="35">
        <v>50</v>
      </c>
      <c r="O48" s="36"/>
      <c r="P48" s="37">
        <f t="shared" si="1"/>
        <v>57</v>
      </c>
    </row>
    <row r="49" spans="1:16" ht="28.5">
      <c r="A49" s="38">
        <v>47</v>
      </c>
      <c r="B49" s="54" t="s">
        <v>88</v>
      </c>
      <c r="C49" s="40" t="s">
        <v>20</v>
      </c>
      <c r="D49" s="41" t="s">
        <v>81</v>
      </c>
      <c r="E49" s="26">
        <v>46813</v>
      </c>
      <c r="F49" s="27">
        <v>22.34</v>
      </c>
      <c r="G49" s="28">
        <f t="shared" si="8"/>
        <v>446.8</v>
      </c>
      <c r="H49" s="29">
        <v>20</v>
      </c>
      <c r="I49" s="30">
        <v>200</v>
      </c>
      <c r="J49" s="31"/>
      <c r="K49" s="32"/>
      <c r="L49" s="45">
        <f>20*10-1*10-1*10</f>
        <v>180</v>
      </c>
      <c r="M49" s="42">
        <v>20</v>
      </c>
      <c r="N49" s="35"/>
      <c r="O49" s="36"/>
      <c r="P49" s="37">
        <f t="shared" si="1"/>
        <v>200</v>
      </c>
    </row>
    <row r="50" spans="1:16" ht="28.5">
      <c r="A50" s="22">
        <v>48</v>
      </c>
      <c r="B50" s="49" t="s">
        <v>89</v>
      </c>
      <c r="C50" s="40" t="s">
        <v>23</v>
      </c>
      <c r="D50" s="41" t="s">
        <v>90</v>
      </c>
      <c r="E50" s="26">
        <v>46935</v>
      </c>
      <c r="F50" s="27">
        <v>16.274699999999999</v>
      </c>
      <c r="G50" s="28">
        <f t="shared" si="8"/>
        <v>32.549399999999999</v>
      </c>
      <c r="H50" s="29">
        <v>2</v>
      </c>
      <c r="I50" s="30"/>
      <c r="J50" s="31"/>
      <c r="K50" s="32"/>
      <c r="L50" s="45">
        <v>0</v>
      </c>
      <c r="M50" s="42">
        <v>2</v>
      </c>
      <c r="N50" s="35"/>
      <c r="O50" s="36"/>
      <c r="P50" s="37">
        <f t="shared" si="1"/>
        <v>2</v>
      </c>
    </row>
    <row r="51" spans="1:16" ht="28.5">
      <c r="A51" s="22">
        <v>49</v>
      </c>
      <c r="B51" s="54" t="s">
        <v>91</v>
      </c>
      <c r="C51" s="40" t="s">
        <v>23</v>
      </c>
      <c r="D51" s="41" t="s">
        <v>77</v>
      </c>
      <c r="E51" s="26">
        <v>46935</v>
      </c>
      <c r="F51" s="27">
        <v>16.760000000000002</v>
      </c>
      <c r="G51" s="28">
        <f>F51*H51-0.08</f>
        <v>335.12000000000006</v>
      </c>
      <c r="H51" s="29">
        <v>20</v>
      </c>
      <c r="I51" s="30"/>
      <c r="J51" s="31"/>
      <c r="K51" s="32"/>
      <c r="L51" s="45">
        <v>20</v>
      </c>
      <c r="M51" s="42"/>
      <c r="N51" s="35"/>
      <c r="O51" s="36"/>
      <c r="P51" s="37">
        <f t="shared" si="1"/>
        <v>20</v>
      </c>
    </row>
    <row r="52" spans="1:16" ht="28.5">
      <c r="A52" s="22">
        <v>50</v>
      </c>
      <c r="B52" s="54" t="s">
        <v>91</v>
      </c>
      <c r="C52" s="40" t="s">
        <v>23</v>
      </c>
      <c r="D52" s="41" t="s">
        <v>77</v>
      </c>
      <c r="E52" s="26">
        <v>46905</v>
      </c>
      <c r="F52" s="27">
        <v>16.760000000000002</v>
      </c>
      <c r="G52" s="28">
        <f>F52*H52-0.04</f>
        <v>167.56000000000003</v>
      </c>
      <c r="H52" s="29">
        <v>10</v>
      </c>
      <c r="I52" s="30"/>
      <c r="J52" s="31"/>
      <c r="K52" s="32"/>
      <c r="L52" s="45">
        <v>10</v>
      </c>
      <c r="M52" s="42"/>
      <c r="N52" s="35"/>
      <c r="O52" s="36"/>
      <c r="P52" s="37">
        <f t="shared" si="1"/>
        <v>10</v>
      </c>
    </row>
    <row r="53" spans="1:16" ht="28.5">
      <c r="A53" s="22">
        <v>51</v>
      </c>
      <c r="B53" s="54" t="s">
        <v>92</v>
      </c>
      <c r="C53" s="40" t="s">
        <v>20</v>
      </c>
      <c r="D53" s="41" t="s">
        <v>90</v>
      </c>
      <c r="E53" s="26">
        <v>46478</v>
      </c>
      <c r="F53" s="27">
        <v>17.66</v>
      </c>
      <c r="G53" s="28">
        <f t="shared" ref="G53:G57" si="9">F53*H53</f>
        <v>529.79999999999995</v>
      </c>
      <c r="H53" s="29">
        <v>30</v>
      </c>
      <c r="I53" s="30"/>
      <c r="J53" s="31"/>
      <c r="K53" s="32"/>
      <c r="L53" s="45">
        <v>0</v>
      </c>
      <c r="M53" s="42">
        <v>23</v>
      </c>
      <c r="N53" s="35">
        <v>12</v>
      </c>
      <c r="O53" s="36"/>
      <c r="P53" s="37">
        <f t="shared" si="1"/>
        <v>35</v>
      </c>
    </row>
    <row r="54" spans="1:16" ht="28.5">
      <c r="A54" s="38">
        <v>52</v>
      </c>
      <c r="B54" s="39" t="s">
        <v>93</v>
      </c>
      <c r="C54" s="40" t="s">
        <v>20</v>
      </c>
      <c r="D54" s="41" t="s">
        <v>94</v>
      </c>
      <c r="E54" s="44">
        <v>46327</v>
      </c>
      <c r="F54" s="27">
        <v>14.787000000000001</v>
      </c>
      <c r="G54" s="28">
        <f t="shared" si="9"/>
        <v>103.509</v>
      </c>
      <c r="H54" s="29">
        <v>7</v>
      </c>
      <c r="I54" s="30">
        <v>35</v>
      </c>
      <c r="J54" s="31"/>
      <c r="K54" s="31"/>
      <c r="L54" s="45">
        <v>0</v>
      </c>
      <c r="M54" s="42">
        <v>35</v>
      </c>
      <c r="N54" s="61"/>
      <c r="O54" s="36"/>
      <c r="P54" s="37">
        <f t="shared" si="1"/>
        <v>35</v>
      </c>
    </row>
    <row r="55" spans="1:16" ht="28.5">
      <c r="A55" s="22">
        <v>53</v>
      </c>
      <c r="B55" s="49" t="s">
        <v>93</v>
      </c>
      <c r="C55" s="40" t="s">
        <v>20</v>
      </c>
      <c r="D55" s="41" t="s">
        <v>94</v>
      </c>
      <c r="E55" s="44">
        <v>46631</v>
      </c>
      <c r="F55" s="27">
        <v>21.77</v>
      </c>
      <c r="G55" s="28">
        <f t="shared" si="9"/>
        <v>0</v>
      </c>
      <c r="H55" s="29">
        <v>0</v>
      </c>
      <c r="I55" s="30">
        <v>0</v>
      </c>
      <c r="J55" s="31"/>
      <c r="K55" s="31"/>
      <c r="L55" s="45">
        <v>0</v>
      </c>
      <c r="M55" s="42">
        <v>0</v>
      </c>
      <c r="N55" s="35">
        <v>0</v>
      </c>
      <c r="O55" s="36"/>
      <c r="P55" s="37">
        <f t="shared" si="1"/>
        <v>0</v>
      </c>
    </row>
    <row r="56" spans="1:16" ht="14.25">
      <c r="A56" s="22">
        <v>54</v>
      </c>
      <c r="B56" s="39" t="s">
        <v>95</v>
      </c>
      <c r="C56" s="40" t="s">
        <v>20</v>
      </c>
      <c r="D56" s="41" t="s">
        <v>96</v>
      </c>
      <c r="E56" s="26">
        <v>46357</v>
      </c>
      <c r="F56" s="27">
        <v>16.5</v>
      </c>
      <c r="G56" s="28">
        <f t="shared" si="9"/>
        <v>495</v>
      </c>
      <c r="H56" s="29">
        <v>30</v>
      </c>
      <c r="I56" s="30">
        <v>300</v>
      </c>
      <c r="J56" s="31"/>
      <c r="K56" s="32"/>
      <c r="L56" s="45">
        <f>30*10-2*10</f>
        <v>280</v>
      </c>
      <c r="M56" s="34">
        <v>0</v>
      </c>
      <c r="N56" s="43">
        <v>20</v>
      </c>
      <c r="O56" s="36"/>
      <c r="P56" s="37">
        <f t="shared" si="1"/>
        <v>300</v>
      </c>
    </row>
    <row r="57" spans="1:16" ht="14.25">
      <c r="A57" s="22">
        <v>55</v>
      </c>
      <c r="B57" s="49" t="s">
        <v>95</v>
      </c>
      <c r="C57" s="40" t="s">
        <v>20</v>
      </c>
      <c r="D57" s="41" t="s">
        <v>96</v>
      </c>
      <c r="E57" s="26">
        <v>46357</v>
      </c>
      <c r="F57" s="27">
        <v>16.5</v>
      </c>
      <c r="G57" s="28">
        <f t="shared" si="9"/>
        <v>49.5</v>
      </c>
      <c r="H57" s="29">
        <v>3</v>
      </c>
      <c r="I57" s="30">
        <v>27</v>
      </c>
      <c r="J57" s="31"/>
      <c r="K57" s="32"/>
      <c r="L57" s="45">
        <v>0</v>
      </c>
      <c r="M57" s="34">
        <v>27</v>
      </c>
      <c r="N57" s="43"/>
      <c r="O57" s="36"/>
      <c r="P57" s="37">
        <f t="shared" si="1"/>
        <v>27</v>
      </c>
    </row>
    <row r="58" spans="1:16" ht="14.25">
      <c r="A58" s="22">
        <v>56</v>
      </c>
      <c r="B58" s="62" t="s">
        <v>97</v>
      </c>
      <c r="C58" s="40" t="s">
        <v>23</v>
      </c>
      <c r="D58" s="63" t="s">
        <v>98</v>
      </c>
      <c r="E58" s="26">
        <v>46023</v>
      </c>
      <c r="F58" s="46">
        <v>20.48</v>
      </c>
      <c r="G58" s="48">
        <f>F58*H58-0.02</f>
        <v>245.73999999999998</v>
      </c>
      <c r="H58" s="29">
        <v>12</v>
      </c>
      <c r="I58" s="30"/>
      <c r="J58" s="31"/>
      <c r="K58" s="32"/>
      <c r="L58" s="45">
        <f>20-10-5-5</f>
        <v>0</v>
      </c>
      <c r="M58" s="34">
        <v>8</v>
      </c>
      <c r="N58" s="35">
        <v>4</v>
      </c>
      <c r="O58" s="36"/>
      <c r="P58" s="37">
        <f t="shared" si="1"/>
        <v>12</v>
      </c>
    </row>
    <row r="59" spans="1:16" ht="14.25">
      <c r="A59" s="22">
        <v>57</v>
      </c>
      <c r="B59" s="39" t="s">
        <v>97</v>
      </c>
      <c r="C59" s="40" t="s">
        <v>23</v>
      </c>
      <c r="D59" s="41" t="s">
        <v>98</v>
      </c>
      <c r="E59" s="26">
        <v>46508</v>
      </c>
      <c r="F59" s="27">
        <v>11.78</v>
      </c>
      <c r="G59" s="48">
        <f>F59*H59+0.07</f>
        <v>1178.07</v>
      </c>
      <c r="H59" s="64">
        <v>100</v>
      </c>
      <c r="I59" s="30"/>
      <c r="J59" s="32"/>
      <c r="K59" s="32"/>
      <c r="L59" s="33">
        <f>100-4</f>
        <v>96</v>
      </c>
      <c r="M59" s="42"/>
      <c r="N59" s="43">
        <v>4</v>
      </c>
      <c r="O59" s="36"/>
      <c r="P59" s="37">
        <f t="shared" si="1"/>
        <v>100</v>
      </c>
    </row>
    <row r="60" spans="1:16" ht="14.25">
      <c r="A60" s="22">
        <v>58</v>
      </c>
      <c r="B60" s="39" t="s">
        <v>99</v>
      </c>
      <c r="C60" s="40" t="s">
        <v>23</v>
      </c>
      <c r="D60" s="41" t="s">
        <v>77</v>
      </c>
      <c r="E60" s="26">
        <v>46054</v>
      </c>
      <c r="F60" s="27">
        <v>69.849999999999994</v>
      </c>
      <c r="G60" s="28">
        <f>F60*H60</f>
        <v>209.54999999999998</v>
      </c>
      <c r="H60" s="64">
        <v>3</v>
      </c>
      <c r="I60" s="30"/>
      <c r="J60" s="32"/>
      <c r="K60" s="32"/>
      <c r="L60" s="33">
        <v>0</v>
      </c>
      <c r="M60" s="42">
        <v>2</v>
      </c>
      <c r="N60" s="43">
        <v>1</v>
      </c>
      <c r="O60" s="36"/>
      <c r="P60" s="37">
        <f t="shared" si="1"/>
        <v>3</v>
      </c>
    </row>
    <row r="61" spans="1:16" ht="42.75">
      <c r="A61" s="22">
        <v>59</v>
      </c>
      <c r="B61" s="39" t="s">
        <v>100</v>
      </c>
      <c r="C61" s="40" t="s">
        <v>20</v>
      </c>
      <c r="D61" s="41" t="s">
        <v>101</v>
      </c>
      <c r="E61" s="26">
        <v>46569</v>
      </c>
      <c r="F61" s="27">
        <v>77.430000000000007</v>
      </c>
      <c r="G61" s="28">
        <f>F61*H61-0.01</f>
        <v>232.28000000000003</v>
      </c>
      <c r="H61" s="64">
        <v>3</v>
      </c>
      <c r="I61" s="30"/>
      <c r="J61" s="32"/>
      <c r="K61" s="32"/>
      <c r="L61" s="33">
        <f>3-1-2</f>
        <v>0</v>
      </c>
      <c r="M61" s="42">
        <v>2</v>
      </c>
      <c r="N61" s="43">
        <v>1</v>
      </c>
      <c r="O61" s="36"/>
      <c r="P61" s="37">
        <f t="shared" si="1"/>
        <v>3</v>
      </c>
    </row>
    <row r="62" spans="1:16" ht="28.5">
      <c r="A62" s="22">
        <v>60</v>
      </c>
      <c r="B62" s="39" t="s">
        <v>102</v>
      </c>
      <c r="C62" s="40" t="s">
        <v>23</v>
      </c>
      <c r="D62" s="41" t="s">
        <v>103</v>
      </c>
      <c r="E62" s="26">
        <v>46388</v>
      </c>
      <c r="F62" s="27">
        <v>28.37</v>
      </c>
      <c r="G62" s="48">
        <f t="shared" ref="G62:G68" si="10">F62*H62</f>
        <v>170.22</v>
      </c>
      <c r="H62" s="64">
        <v>6</v>
      </c>
      <c r="I62" s="30"/>
      <c r="J62" s="32"/>
      <c r="K62" s="32"/>
      <c r="L62" s="33">
        <v>0</v>
      </c>
      <c r="M62" s="42">
        <v>0</v>
      </c>
      <c r="N62" s="43">
        <v>6</v>
      </c>
      <c r="O62" s="36"/>
      <c r="P62" s="37">
        <f t="shared" si="1"/>
        <v>6</v>
      </c>
    </row>
    <row r="63" spans="1:16" ht="14.25">
      <c r="A63" s="38">
        <v>61</v>
      </c>
      <c r="B63" s="39" t="s">
        <v>104</v>
      </c>
      <c r="C63" s="40" t="s">
        <v>23</v>
      </c>
      <c r="D63" s="41" t="s">
        <v>98</v>
      </c>
      <c r="E63" s="44">
        <v>46784</v>
      </c>
      <c r="F63" s="46">
        <v>27</v>
      </c>
      <c r="G63" s="28">
        <f t="shared" si="10"/>
        <v>10557</v>
      </c>
      <c r="H63" s="64">
        <v>391</v>
      </c>
      <c r="I63" s="30"/>
      <c r="J63" s="32"/>
      <c r="K63" s="65"/>
      <c r="L63" s="33">
        <f>390-10-30</f>
        <v>350</v>
      </c>
      <c r="M63" s="34">
        <v>31</v>
      </c>
      <c r="N63" s="35">
        <v>10</v>
      </c>
      <c r="O63" s="36"/>
      <c r="P63" s="37">
        <f t="shared" si="1"/>
        <v>391</v>
      </c>
    </row>
    <row r="64" spans="1:16" ht="14.25">
      <c r="A64" s="22">
        <v>62</v>
      </c>
      <c r="B64" s="49" t="s">
        <v>104</v>
      </c>
      <c r="C64" s="40" t="s">
        <v>23</v>
      </c>
      <c r="D64" s="41" t="s">
        <v>98</v>
      </c>
      <c r="E64" s="26">
        <v>46784</v>
      </c>
      <c r="F64" s="46">
        <v>27</v>
      </c>
      <c r="G64" s="28">
        <f t="shared" si="10"/>
        <v>0</v>
      </c>
      <c r="H64" s="29">
        <v>0</v>
      </c>
      <c r="I64" s="30"/>
      <c r="J64" s="31"/>
      <c r="K64" s="31"/>
      <c r="L64" s="45">
        <v>0</v>
      </c>
      <c r="M64" s="34">
        <v>0</v>
      </c>
      <c r="N64" s="43">
        <v>0</v>
      </c>
      <c r="O64" s="66"/>
      <c r="P64" s="37">
        <f t="shared" si="1"/>
        <v>0</v>
      </c>
    </row>
    <row r="65" spans="1:16" ht="28.5">
      <c r="A65" s="22">
        <v>63</v>
      </c>
      <c r="B65" s="49" t="s">
        <v>105</v>
      </c>
      <c r="C65" s="40" t="s">
        <v>47</v>
      </c>
      <c r="D65" s="41" t="s">
        <v>84</v>
      </c>
      <c r="E65" s="26">
        <v>46784</v>
      </c>
      <c r="F65" s="46">
        <v>26.96</v>
      </c>
      <c r="G65" s="48">
        <f t="shared" si="10"/>
        <v>26.96</v>
      </c>
      <c r="H65" s="29">
        <v>1</v>
      </c>
      <c r="I65" s="30">
        <v>5</v>
      </c>
      <c r="J65" s="31"/>
      <c r="K65" s="31"/>
      <c r="L65" s="45">
        <v>0</v>
      </c>
      <c r="M65" s="34">
        <v>5</v>
      </c>
      <c r="N65" s="43">
        <v>0</v>
      </c>
      <c r="O65" s="66"/>
      <c r="P65" s="37">
        <f t="shared" si="1"/>
        <v>5</v>
      </c>
    </row>
    <row r="66" spans="1:16" ht="18" customHeight="1">
      <c r="A66" s="22">
        <v>64</v>
      </c>
      <c r="B66" s="39" t="s">
        <v>106</v>
      </c>
      <c r="C66" s="40" t="s">
        <v>76</v>
      </c>
      <c r="D66" s="41" t="s">
        <v>77</v>
      </c>
      <c r="E66" s="67">
        <v>46113</v>
      </c>
      <c r="F66" s="58">
        <v>26.364660000000001</v>
      </c>
      <c r="G66" s="28">
        <f t="shared" si="10"/>
        <v>738.21047999999996</v>
      </c>
      <c r="H66" s="29">
        <v>28</v>
      </c>
      <c r="I66" s="30"/>
      <c r="J66" s="31"/>
      <c r="K66" s="31"/>
      <c r="L66" s="45">
        <v>0</v>
      </c>
      <c r="M66" s="34">
        <v>14</v>
      </c>
      <c r="N66" s="43">
        <v>14</v>
      </c>
      <c r="O66" s="66"/>
      <c r="P66" s="37">
        <f t="shared" si="1"/>
        <v>28</v>
      </c>
    </row>
    <row r="67" spans="1:16" ht="28.5">
      <c r="A67" s="22">
        <v>65</v>
      </c>
      <c r="B67" s="39" t="s">
        <v>107</v>
      </c>
      <c r="C67" s="40" t="s">
        <v>20</v>
      </c>
      <c r="D67" s="41" t="s">
        <v>108</v>
      </c>
      <c r="E67" s="26">
        <v>46327</v>
      </c>
      <c r="F67" s="27">
        <v>16.48</v>
      </c>
      <c r="G67" s="28">
        <f t="shared" si="10"/>
        <v>49.44</v>
      </c>
      <c r="H67" s="29">
        <v>3</v>
      </c>
      <c r="I67" s="30">
        <v>150</v>
      </c>
      <c r="J67" s="31"/>
      <c r="K67" s="31"/>
      <c r="L67" s="45">
        <v>0</v>
      </c>
      <c r="M67" s="34">
        <v>100</v>
      </c>
      <c r="N67" s="35">
        <v>50</v>
      </c>
      <c r="O67" s="36"/>
      <c r="P67" s="37">
        <f t="shared" si="1"/>
        <v>150</v>
      </c>
    </row>
    <row r="68" spans="1:16" ht="14.25">
      <c r="A68" s="22">
        <v>66</v>
      </c>
      <c r="B68" s="39" t="s">
        <v>109</v>
      </c>
      <c r="C68" s="40" t="s">
        <v>20</v>
      </c>
      <c r="D68" s="41" t="s">
        <v>110</v>
      </c>
      <c r="E68" s="26">
        <v>46357</v>
      </c>
      <c r="F68" s="27">
        <v>45.143000000000001</v>
      </c>
      <c r="G68" s="48">
        <f t="shared" si="10"/>
        <v>180.572</v>
      </c>
      <c r="H68" s="29">
        <v>4</v>
      </c>
      <c r="I68" s="30">
        <v>80</v>
      </c>
      <c r="J68" s="31"/>
      <c r="K68" s="31"/>
      <c r="L68" s="45">
        <v>0</v>
      </c>
      <c r="M68" s="34">
        <v>80</v>
      </c>
      <c r="N68" s="35"/>
      <c r="O68" s="36"/>
      <c r="P68" s="37">
        <f t="shared" si="1"/>
        <v>80</v>
      </c>
    </row>
    <row r="69" spans="1:16" ht="28.5">
      <c r="A69" s="22">
        <v>67</v>
      </c>
      <c r="B69" s="39" t="s">
        <v>111</v>
      </c>
      <c r="C69" s="40" t="s">
        <v>20</v>
      </c>
      <c r="D69" s="41" t="s">
        <v>37</v>
      </c>
      <c r="E69" s="26">
        <v>46753</v>
      </c>
      <c r="F69" s="46">
        <v>33.729999999999997</v>
      </c>
      <c r="G69" s="48">
        <f>F69*H69-0.04</f>
        <v>337.25999999999993</v>
      </c>
      <c r="H69" s="29">
        <v>10</v>
      </c>
      <c r="I69" s="30">
        <v>100</v>
      </c>
      <c r="J69" s="31"/>
      <c r="K69" s="32"/>
      <c r="L69" s="45">
        <v>100</v>
      </c>
      <c r="M69" s="34"/>
      <c r="N69" s="35"/>
      <c r="O69" s="36"/>
      <c r="P69" s="37">
        <f t="shared" si="1"/>
        <v>100</v>
      </c>
    </row>
    <row r="70" spans="1:16" ht="28.5">
      <c r="A70" s="22">
        <v>68</v>
      </c>
      <c r="B70" s="39" t="s">
        <v>112</v>
      </c>
      <c r="C70" s="40" t="s">
        <v>20</v>
      </c>
      <c r="D70" s="41" t="s">
        <v>94</v>
      </c>
      <c r="E70" s="26">
        <v>46235</v>
      </c>
      <c r="F70" s="46">
        <v>71.018000000000001</v>
      </c>
      <c r="G70" s="28">
        <f t="shared" ref="G70:G71" si="11">F70*H70-0.01</f>
        <v>355.08000000000004</v>
      </c>
      <c r="H70" s="29">
        <v>5</v>
      </c>
      <c r="I70" s="30">
        <v>25</v>
      </c>
      <c r="J70" s="31"/>
      <c r="K70" s="32"/>
      <c r="L70" s="45">
        <f>5*5</f>
        <v>25</v>
      </c>
      <c r="M70" s="34"/>
      <c r="N70" s="35">
        <v>0</v>
      </c>
      <c r="O70" s="36"/>
      <c r="P70" s="37">
        <f t="shared" si="1"/>
        <v>25</v>
      </c>
    </row>
    <row r="71" spans="1:16" ht="28.5">
      <c r="A71" s="22">
        <v>69</v>
      </c>
      <c r="B71" s="49" t="s">
        <v>113</v>
      </c>
      <c r="C71" s="40" t="s">
        <v>20</v>
      </c>
      <c r="D71" s="41" t="s">
        <v>94</v>
      </c>
      <c r="E71" s="26">
        <v>46235</v>
      </c>
      <c r="F71" s="27">
        <v>71.02</v>
      </c>
      <c r="G71" s="28">
        <f t="shared" si="11"/>
        <v>142.03</v>
      </c>
      <c r="H71" s="29">
        <v>2</v>
      </c>
      <c r="I71" s="30">
        <v>8</v>
      </c>
      <c r="J71" s="31"/>
      <c r="K71" s="32"/>
      <c r="L71" s="45">
        <v>0</v>
      </c>
      <c r="M71" s="34"/>
      <c r="N71" s="35">
        <v>8</v>
      </c>
      <c r="O71" s="36"/>
      <c r="P71" s="37">
        <f t="shared" si="1"/>
        <v>8</v>
      </c>
    </row>
    <row r="72" spans="1:16" ht="21" customHeight="1">
      <c r="A72" s="22">
        <v>70</v>
      </c>
      <c r="B72" s="68" t="s">
        <v>114</v>
      </c>
      <c r="C72" s="69" t="s">
        <v>23</v>
      </c>
      <c r="D72" s="25" t="s">
        <v>115</v>
      </c>
      <c r="E72" s="70">
        <v>46447</v>
      </c>
      <c r="F72" s="64">
        <v>15.13</v>
      </c>
      <c r="G72" s="28">
        <f t="shared" ref="G72:G107" si="12">F72*H72</f>
        <v>75.650000000000006</v>
      </c>
      <c r="H72" s="64">
        <v>5</v>
      </c>
      <c r="I72" s="71"/>
      <c r="J72" s="31"/>
      <c r="K72" s="32"/>
      <c r="L72" s="33">
        <v>0</v>
      </c>
      <c r="M72" s="34">
        <v>2</v>
      </c>
      <c r="N72" s="35">
        <v>3</v>
      </c>
      <c r="O72" s="36"/>
      <c r="P72" s="37">
        <f t="shared" si="1"/>
        <v>5</v>
      </c>
    </row>
    <row r="73" spans="1:16" ht="28.5">
      <c r="A73" s="38">
        <v>71</v>
      </c>
      <c r="B73" s="72" t="s">
        <v>116</v>
      </c>
      <c r="C73" s="69"/>
      <c r="D73" s="73"/>
      <c r="E73" s="70">
        <v>46113</v>
      </c>
      <c r="F73" s="74">
        <v>3234.61</v>
      </c>
      <c r="G73" s="28">
        <f t="shared" si="12"/>
        <v>262003.41</v>
      </c>
      <c r="H73" s="64">
        <v>81</v>
      </c>
      <c r="I73" s="71">
        <v>810</v>
      </c>
      <c r="J73" s="31"/>
      <c r="K73" s="32"/>
      <c r="L73" s="33"/>
      <c r="M73" s="34"/>
      <c r="N73" s="35">
        <v>810</v>
      </c>
      <c r="O73" s="36"/>
      <c r="P73" s="37">
        <f t="shared" si="1"/>
        <v>810</v>
      </c>
    </row>
    <row r="74" spans="1:16" ht="28.5">
      <c r="A74" s="38">
        <v>72</v>
      </c>
      <c r="B74" s="72" t="s">
        <v>117</v>
      </c>
      <c r="C74" s="69" t="s">
        <v>118</v>
      </c>
      <c r="D74" s="73"/>
      <c r="E74" s="70">
        <v>46174</v>
      </c>
      <c r="F74" s="74">
        <v>2.14</v>
      </c>
      <c r="G74" s="28">
        <f t="shared" si="12"/>
        <v>783.24</v>
      </c>
      <c r="H74" s="64">
        <v>366</v>
      </c>
      <c r="I74" s="71"/>
      <c r="J74" s="31"/>
      <c r="K74" s="32"/>
      <c r="L74" s="33"/>
      <c r="M74" s="34"/>
      <c r="N74" s="35">
        <v>366</v>
      </c>
      <c r="O74" s="36"/>
      <c r="P74" s="37">
        <f t="shared" si="1"/>
        <v>366</v>
      </c>
    </row>
    <row r="75" spans="1:16" ht="24">
      <c r="A75" s="22">
        <v>73</v>
      </c>
      <c r="B75" s="75" t="s">
        <v>119</v>
      </c>
      <c r="C75" s="76"/>
      <c r="D75" s="77" t="s">
        <v>120</v>
      </c>
      <c r="E75" s="78"/>
      <c r="F75" s="79">
        <v>72</v>
      </c>
      <c r="G75" s="80">
        <f t="shared" si="12"/>
        <v>4752</v>
      </c>
      <c r="H75" s="81">
        <v>66</v>
      </c>
      <c r="I75" s="82"/>
      <c r="J75" s="31"/>
      <c r="K75" s="32"/>
      <c r="L75" s="33">
        <v>0</v>
      </c>
      <c r="M75" s="34">
        <v>66</v>
      </c>
      <c r="N75" s="35"/>
      <c r="O75" s="36"/>
      <c r="P75" s="37">
        <f t="shared" si="1"/>
        <v>66</v>
      </c>
    </row>
    <row r="76" spans="1:16" ht="14.25">
      <c r="A76" s="22">
        <v>74</v>
      </c>
      <c r="B76" s="83" t="s">
        <v>121</v>
      </c>
      <c r="C76" s="76" t="s">
        <v>20</v>
      </c>
      <c r="D76" s="77" t="s">
        <v>122</v>
      </c>
      <c r="E76" s="78"/>
      <c r="F76" s="79">
        <v>980</v>
      </c>
      <c r="G76" s="80">
        <f t="shared" si="12"/>
        <v>65660</v>
      </c>
      <c r="H76" s="81">
        <v>67</v>
      </c>
      <c r="I76" s="82">
        <v>6700</v>
      </c>
      <c r="J76" s="31"/>
      <c r="K76" s="32"/>
      <c r="L76" s="33">
        <v>5000</v>
      </c>
      <c r="M76" s="34"/>
      <c r="N76" s="35">
        <v>1700</v>
      </c>
      <c r="O76" s="36"/>
      <c r="P76" s="37">
        <f t="shared" si="1"/>
        <v>6700</v>
      </c>
    </row>
    <row r="77" spans="1:16" ht="28.5">
      <c r="A77" s="22">
        <v>75</v>
      </c>
      <c r="B77" s="75" t="s">
        <v>123</v>
      </c>
      <c r="C77" s="76"/>
      <c r="D77" s="84" t="s">
        <v>124</v>
      </c>
      <c r="E77" s="78"/>
      <c r="F77" s="79">
        <v>37</v>
      </c>
      <c r="G77" s="80">
        <f t="shared" si="12"/>
        <v>4625</v>
      </c>
      <c r="H77" s="81">
        <v>125</v>
      </c>
      <c r="I77" s="85"/>
      <c r="J77" s="59"/>
      <c r="K77" s="57"/>
      <c r="L77" s="33">
        <f t="shared" ref="L77:L78" si="13">275-100-50-50</f>
        <v>75</v>
      </c>
      <c r="M77" s="34">
        <v>32</v>
      </c>
      <c r="N77" s="43">
        <v>18</v>
      </c>
      <c r="O77" s="66"/>
      <c r="P77" s="37">
        <f t="shared" si="1"/>
        <v>125</v>
      </c>
    </row>
    <row r="78" spans="1:16" ht="28.5">
      <c r="A78" s="22">
        <v>76</v>
      </c>
      <c r="B78" s="75" t="s">
        <v>125</v>
      </c>
      <c r="C78" s="76"/>
      <c r="D78" s="84" t="s">
        <v>124</v>
      </c>
      <c r="E78" s="78"/>
      <c r="F78" s="79">
        <v>39</v>
      </c>
      <c r="G78" s="80">
        <f t="shared" si="12"/>
        <v>4836</v>
      </c>
      <c r="H78" s="81">
        <v>124</v>
      </c>
      <c r="I78" s="85"/>
      <c r="J78" s="59"/>
      <c r="K78" s="57"/>
      <c r="L78" s="33">
        <f t="shared" si="13"/>
        <v>75</v>
      </c>
      <c r="M78" s="34">
        <v>32</v>
      </c>
      <c r="N78" s="43">
        <v>17</v>
      </c>
      <c r="O78" s="66"/>
      <c r="P78" s="37">
        <f t="shared" si="1"/>
        <v>124</v>
      </c>
    </row>
    <row r="79" spans="1:16" ht="28.5">
      <c r="A79" s="22">
        <v>77</v>
      </c>
      <c r="B79" s="75" t="s">
        <v>126</v>
      </c>
      <c r="C79" s="76"/>
      <c r="D79" s="84" t="s">
        <v>124</v>
      </c>
      <c r="E79" s="78">
        <v>46235</v>
      </c>
      <c r="F79" s="79">
        <v>37</v>
      </c>
      <c r="G79" s="80">
        <f t="shared" si="12"/>
        <v>1739</v>
      </c>
      <c r="H79" s="81">
        <v>47</v>
      </c>
      <c r="I79" s="85"/>
      <c r="J79" s="59"/>
      <c r="K79" s="57"/>
      <c r="L79" s="33"/>
      <c r="M79" s="34">
        <v>22</v>
      </c>
      <c r="N79" s="43">
        <v>25</v>
      </c>
      <c r="O79" s="66"/>
      <c r="P79" s="37">
        <f t="shared" si="1"/>
        <v>47</v>
      </c>
    </row>
    <row r="80" spans="1:16" ht="28.5">
      <c r="A80" s="22">
        <v>78</v>
      </c>
      <c r="B80" s="75" t="s">
        <v>127</v>
      </c>
      <c r="C80" s="76"/>
      <c r="D80" s="84" t="s">
        <v>128</v>
      </c>
      <c r="E80" s="86">
        <v>46327</v>
      </c>
      <c r="F80" s="79">
        <v>85</v>
      </c>
      <c r="G80" s="80">
        <f t="shared" si="12"/>
        <v>8160</v>
      </c>
      <c r="H80" s="81">
        <v>96</v>
      </c>
      <c r="I80" s="85"/>
      <c r="J80" s="59"/>
      <c r="K80" s="57"/>
      <c r="L80" s="33"/>
      <c r="M80" s="34">
        <v>46</v>
      </c>
      <c r="N80" s="43">
        <v>50</v>
      </c>
      <c r="O80" s="66"/>
      <c r="P80" s="37">
        <f t="shared" si="1"/>
        <v>96</v>
      </c>
    </row>
    <row r="81" spans="1:16" ht="28.5">
      <c r="A81" s="22">
        <v>79</v>
      </c>
      <c r="B81" s="75" t="s">
        <v>129</v>
      </c>
      <c r="C81" s="76"/>
      <c r="D81" s="84" t="s">
        <v>130</v>
      </c>
      <c r="E81" s="78"/>
      <c r="F81" s="79">
        <v>40</v>
      </c>
      <c r="G81" s="80">
        <f t="shared" si="12"/>
        <v>17000</v>
      </c>
      <c r="H81" s="81">
        <v>425</v>
      </c>
      <c r="I81" s="85"/>
      <c r="J81" s="59"/>
      <c r="K81" s="57"/>
      <c r="L81" s="33">
        <f>480-80-320</f>
        <v>80</v>
      </c>
      <c r="M81" s="34">
        <v>311</v>
      </c>
      <c r="N81" s="43">
        <v>34</v>
      </c>
      <c r="O81" s="66"/>
      <c r="P81" s="37">
        <f t="shared" si="1"/>
        <v>425</v>
      </c>
    </row>
    <row r="82" spans="1:16" ht="28.5">
      <c r="A82" s="22">
        <v>80</v>
      </c>
      <c r="B82" s="75" t="s">
        <v>131</v>
      </c>
      <c r="C82" s="76"/>
      <c r="D82" s="87"/>
      <c r="E82" s="78"/>
      <c r="F82" s="81">
        <v>2.8</v>
      </c>
      <c r="G82" s="80">
        <f t="shared" si="12"/>
        <v>672</v>
      </c>
      <c r="H82" s="81">
        <v>240</v>
      </c>
      <c r="I82" s="85"/>
      <c r="J82" s="59"/>
      <c r="K82" s="57"/>
      <c r="L82" s="33"/>
      <c r="M82" s="34"/>
      <c r="N82" s="43">
        <v>240</v>
      </c>
      <c r="O82" s="66"/>
      <c r="P82" s="37">
        <f t="shared" si="1"/>
        <v>240</v>
      </c>
    </row>
    <row r="83" spans="1:16" ht="28.5">
      <c r="A83" s="38">
        <v>81</v>
      </c>
      <c r="B83" s="75" t="s">
        <v>132</v>
      </c>
      <c r="C83" s="76"/>
      <c r="D83" s="87"/>
      <c r="E83" s="78"/>
      <c r="F83" s="81">
        <v>16.03</v>
      </c>
      <c r="G83" s="80">
        <f t="shared" si="12"/>
        <v>1603</v>
      </c>
      <c r="H83" s="81">
        <v>100</v>
      </c>
      <c r="I83" s="85"/>
      <c r="J83" s="59"/>
      <c r="K83" s="57"/>
      <c r="L83" s="33"/>
      <c r="M83" s="34">
        <v>100</v>
      </c>
      <c r="N83" s="43"/>
      <c r="O83" s="66"/>
      <c r="P83" s="37">
        <f t="shared" si="1"/>
        <v>100</v>
      </c>
    </row>
    <row r="84" spans="1:16" ht="42.75">
      <c r="A84" s="22">
        <v>82</v>
      </c>
      <c r="B84" s="75" t="s">
        <v>133</v>
      </c>
      <c r="C84" s="76"/>
      <c r="D84" s="84" t="s">
        <v>134</v>
      </c>
      <c r="E84" s="78"/>
      <c r="F84" s="81">
        <v>87</v>
      </c>
      <c r="G84" s="80">
        <f t="shared" si="12"/>
        <v>69600</v>
      </c>
      <c r="H84" s="81">
        <v>800</v>
      </c>
      <c r="I84" s="85"/>
      <c r="J84" s="59"/>
      <c r="K84" s="57"/>
      <c r="L84" s="33"/>
      <c r="M84" s="34">
        <v>800</v>
      </c>
      <c r="N84" s="43"/>
      <c r="O84" s="66"/>
      <c r="P84" s="37">
        <f t="shared" si="1"/>
        <v>800</v>
      </c>
    </row>
    <row r="85" spans="1:16" ht="57">
      <c r="A85" s="22">
        <v>83</v>
      </c>
      <c r="B85" s="75" t="s">
        <v>135</v>
      </c>
      <c r="C85" s="76" t="s">
        <v>118</v>
      </c>
      <c r="D85" s="87"/>
      <c r="E85" s="78">
        <v>46357</v>
      </c>
      <c r="F85" s="81">
        <v>2.8</v>
      </c>
      <c r="G85" s="80">
        <f t="shared" si="12"/>
        <v>1400</v>
      </c>
      <c r="H85" s="81">
        <v>500</v>
      </c>
      <c r="I85" s="85"/>
      <c r="J85" s="59"/>
      <c r="K85" s="57"/>
      <c r="L85" s="33">
        <f>10*50</f>
        <v>500</v>
      </c>
      <c r="M85" s="34"/>
      <c r="N85" s="43"/>
      <c r="O85" s="66"/>
      <c r="P85" s="37">
        <f t="shared" si="1"/>
        <v>500</v>
      </c>
    </row>
    <row r="86" spans="1:16" ht="28.5">
      <c r="A86" s="22">
        <v>84</v>
      </c>
      <c r="B86" s="88" t="s">
        <v>136</v>
      </c>
      <c r="C86" s="76" t="s">
        <v>118</v>
      </c>
      <c r="D86" s="87"/>
      <c r="E86" s="78">
        <v>46327</v>
      </c>
      <c r="F86" s="81">
        <v>1.55</v>
      </c>
      <c r="G86" s="80">
        <f t="shared" si="12"/>
        <v>1311.3</v>
      </c>
      <c r="H86" s="81">
        <v>846</v>
      </c>
      <c r="I86" s="85"/>
      <c r="J86" s="59"/>
      <c r="K86" s="57"/>
      <c r="L86" s="33">
        <v>0</v>
      </c>
      <c r="M86" s="34">
        <v>846</v>
      </c>
      <c r="N86" s="43"/>
      <c r="O86" s="36"/>
      <c r="P86" s="37">
        <f t="shared" si="1"/>
        <v>846</v>
      </c>
    </row>
    <row r="87" spans="1:16" ht="28.5">
      <c r="A87" s="22">
        <v>85</v>
      </c>
      <c r="B87" s="75" t="s">
        <v>137</v>
      </c>
      <c r="C87" s="76" t="s">
        <v>118</v>
      </c>
      <c r="D87" s="87"/>
      <c r="E87" s="78">
        <v>46023</v>
      </c>
      <c r="F87" s="81">
        <v>15.94</v>
      </c>
      <c r="G87" s="89">
        <f t="shared" si="12"/>
        <v>255.04</v>
      </c>
      <c r="H87" s="81">
        <v>16</v>
      </c>
      <c r="I87" s="85"/>
      <c r="J87" s="59"/>
      <c r="K87" s="57"/>
      <c r="L87" s="33">
        <v>0</v>
      </c>
      <c r="M87" s="34">
        <v>16</v>
      </c>
      <c r="N87" s="43"/>
      <c r="O87" s="36"/>
      <c r="P87" s="37">
        <f t="shared" si="1"/>
        <v>16</v>
      </c>
    </row>
    <row r="88" spans="1:16" ht="14.25">
      <c r="A88" s="22">
        <v>86</v>
      </c>
      <c r="B88" s="90" t="s">
        <v>138</v>
      </c>
      <c r="C88" s="76" t="s">
        <v>118</v>
      </c>
      <c r="D88" s="87"/>
      <c r="E88" s="78">
        <v>46023</v>
      </c>
      <c r="F88" s="81">
        <v>31.55</v>
      </c>
      <c r="G88" s="80">
        <f t="shared" si="12"/>
        <v>63.1</v>
      </c>
      <c r="H88" s="81">
        <v>2</v>
      </c>
      <c r="I88" s="85"/>
      <c r="J88" s="59"/>
      <c r="K88" s="57"/>
      <c r="L88" s="33">
        <v>0</v>
      </c>
      <c r="M88" s="34">
        <v>2</v>
      </c>
      <c r="N88" s="35"/>
      <c r="O88" s="36"/>
      <c r="P88" s="37">
        <f t="shared" si="1"/>
        <v>2</v>
      </c>
    </row>
    <row r="89" spans="1:16" ht="14.25">
      <c r="A89" s="22">
        <v>87</v>
      </c>
      <c r="B89" s="90" t="s">
        <v>139</v>
      </c>
      <c r="C89" s="76" t="s">
        <v>118</v>
      </c>
      <c r="D89" s="87"/>
      <c r="E89" s="78">
        <v>46023</v>
      </c>
      <c r="F89" s="81">
        <v>53.39</v>
      </c>
      <c r="G89" s="80">
        <f t="shared" si="12"/>
        <v>53.39</v>
      </c>
      <c r="H89" s="81">
        <v>1</v>
      </c>
      <c r="I89" s="85"/>
      <c r="J89" s="59"/>
      <c r="K89" s="57"/>
      <c r="L89" s="33">
        <v>0</v>
      </c>
      <c r="M89" s="34">
        <v>1</v>
      </c>
      <c r="N89" s="35"/>
      <c r="O89" s="36"/>
      <c r="P89" s="37">
        <f t="shared" si="1"/>
        <v>1</v>
      </c>
    </row>
    <row r="90" spans="1:16" ht="42.75">
      <c r="A90" s="22">
        <v>88</v>
      </c>
      <c r="B90" s="90" t="s">
        <v>140</v>
      </c>
      <c r="C90" s="76" t="s">
        <v>118</v>
      </c>
      <c r="D90" s="87"/>
      <c r="E90" s="78">
        <v>46357</v>
      </c>
      <c r="F90" s="79">
        <v>5</v>
      </c>
      <c r="G90" s="80">
        <f t="shared" si="12"/>
        <v>115</v>
      </c>
      <c r="H90" s="81">
        <v>23</v>
      </c>
      <c r="I90" s="91"/>
      <c r="J90" s="59"/>
      <c r="K90" s="59"/>
      <c r="L90" s="45">
        <v>0</v>
      </c>
      <c r="M90" s="34">
        <v>13</v>
      </c>
      <c r="N90" s="35">
        <v>10</v>
      </c>
      <c r="O90" s="36"/>
      <c r="P90" s="37">
        <f t="shared" si="1"/>
        <v>23</v>
      </c>
    </row>
    <row r="91" spans="1:16" ht="28.5">
      <c r="A91" s="22">
        <v>89</v>
      </c>
      <c r="B91" s="90" t="s">
        <v>141</v>
      </c>
      <c r="C91" s="92" t="s">
        <v>118</v>
      </c>
      <c r="D91" s="87"/>
      <c r="E91" s="78"/>
      <c r="F91" s="81">
        <v>7.46</v>
      </c>
      <c r="G91" s="80">
        <f t="shared" si="12"/>
        <v>141.74</v>
      </c>
      <c r="H91" s="81">
        <v>19</v>
      </c>
      <c r="I91" s="91"/>
      <c r="J91" s="31"/>
      <c r="K91" s="32"/>
      <c r="L91" s="33">
        <v>17</v>
      </c>
      <c r="M91" s="34"/>
      <c r="N91" s="35">
        <v>2</v>
      </c>
      <c r="O91" s="36"/>
      <c r="P91" s="37">
        <f t="shared" si="1"/>
        <v>19</v>
      </c>
    </row>
    <row r="92" spans="1:16" ht="28.5">
      <c r="A92" s="38">
        <v>90</v>
      </c>
      <c r="B92" s="90" t="s">
        <v>141</v>
      </c>
      <c r="C92" s="92" t="s">
        <v>118</v>
      </c>
      <c r="D92" s="87"/>
      <c r="E92" s="78"/>
      <c r="F92" s="81">
        <v>7.58</v>
      </c>
      <c r="G92" s="80">
        <f t="shared" si="12"/>
        <v>7.58</v>
      </c>
      <c r="H92" s="81">
        <v>1</v>
      </c>
      <c r="I92" s="91"/>
      <c r="J92" s="31"/>
      <c r="K92" s="32"/>
      <c r="L92" s="33">
        <v>0</v>
      </c>
      <c r="M92" s="34">
        <v>0</v>
      </c>
      <c r="N92" s="35">
        <v>1</v>
      </c>
      <c r="O92" s="36"/>
      <c r="P92" s="37">
        <f t="shared" si="1"/>
        <v>1</v>
      </c>
    </row>
    <row r="93" spans="1:16" ht="28.5">
      <c r="A93" s="22">
        <v>91</v>
      </c>
      <c r="B93" s="93" t="s">
        <v>142</v>
      </c>
      <c r="C93" s="92" t="s">
        <v>118</v>
      </c>
      <c r="D93" s="87"/>
      <c r="E93" s="78">
        <v>47939</v>
      </c>
      <c r="F93" s="81">
        <v>8.24</v>
      </c>
      <c r="G93" s="80">
        <f t="shared" si="12"/>
        <v>173.04</v>
      </c>
      <c r="H93" s="81">
        <v>21</v>
      </c>
      <c r="I93" s="91"/>
      <c r="J93" s="31"/>
      <c r="K93" s="32"/>
      <c r="L93" s="33">
        <v>20</v>
      </c>
      <c r="M93" s="34">
        <v>1</v>
      </c>
      <c r="N93" s="35"/>
      <c r="O93" s="36"/>
      <c r="P93" s="37">
        <f t="shared" si="1"/>
        <v>21</v>
      </c>
    </row>
    <row r="94" spans="1:16" ht="42.75">
      <c r="A94" s="22">
        <v>92</v>
      </c>
      <c r="B94" s="94" t="s">
        <v>143</v>
      </c>
      <c r="C94" s="76" t="s">
        <v>118</v>
      </c>
      <c r="D94" s="87"/>
      <c r="E94" s="78">
        <v>64193</v>
      </c>
      <c r="F94" s="81">
        <v>21.2</v>
      </c>
      <c r="G94" s="80">
        <f t="shared" si="12"/>
        <v>2332</v>
      </c>
      <c r="H94" s="81">
        <v>110</v>
      </c>
      <c r="I94" s="91"/>
      <c r="J94" s="31"/>
      <c r="K94" s="32"/>
      <c r="L94" s="45">
        <v>110</v>
      </c>
      <c r="M94" s="34"/>
      <c r="N94" s="43"/>
      <c r="O94" s="36"/>
      <c r="P94" s="37">
        <f t="shared" si="1"/>
        <v>110</v>
      </c>
    </row>
    <row r="95" spans="1:16" ht="28.5">
      <c r="A95" s="38">
        <v>93</v>
      </c>
      <c r="B95" s="94" t="s">
        <v>144</v>
      </c>
      <c r="C95" s="76" t="s">
        <v>118</v>
      </c>
      <c r="D95" s="87"/>
      <c r="E95" s="78">
        <v>46447</v>
      </c>
      <c r="F95" s="81">
        <v>11.15</v>
      </c>
      <c r="G95" s="89">
        <f t="shared" si="12"/>
        <v>735.9</v>
      </c>
      <c r="H95" s="81">
        <v>66</v>
      </c>
      <c r="I95" s="91"/>
      <c r="J95" s="31"/>
      <c r="K95" s="32"/>
      <c r="L95" s="45">
        <f>80-20-10</f>
        <v>50</v>
      </c>
      <c r="M95" s="34">
        <v>9</v>
      </c>
      <c r="N95" s="43">
        <v>7</v>
      </c>
      <c r="O95" s="36"/>
      <c r="P95" s="37">
        <f t="shared" si="1"/>
        <v>66</v>
      </c>
    </row>
    <row r="96" spans="1:16" ht="42.75">
      <c r="A96" s="22">
        <v>94</v>
      </c>
      <c r="B96" s="94" t="s">
        <v>145</v>
      </c>
      <c r="C96" s="76" t="s">
        <v>118</v>
      </c>
      <c r="D96" s="84" t="s">
        <v>122</v>
      </c>
      <c r="E96" s="78"/>
      <c r="F96" s="81">
        <v>3.75</v>
      </c>
      <c r="G96" s="80">
        <f t="shared" si="12"/>
        <v>1256.25</v>
      </c>
      <c r="H96" s="81">
        <v>335</v>
      </c>
      <c r="I96" s="91"/>
      <c r="J96" s="31"/>
      <c r="K96" s="32"/>
      <c r="L96" s="33">
        <v>0</v>
      </c>
      <c r="M96" s="34"/>
      <c r="N96" s="43">
        <v>335</v>
      </c>
      <c r="O96" s="36"/>
      <c r="P96" s="37">
        <f t="shared" si="1"/>
        <v>335</v>
      </c>
    </row>
    <row r="97" spans="1:16" ht="28.5">
      <c r="A97" s="22">
        <v>95</v>
      </c>
      <c r="B97" s="94" t="s">
        <v>146</v>
      </c>
      <c r="C97" s="76" t="s">
        <v>118</v>
      </c>
      <c r="D97" s="84"/>
      <c r="E97" s="78">
        <v>46235</v>
      </c>
      <c r="F97" s="81">
        <v>3.8519999999999999</v>
      </c>
      <c r="G97" s="80">
        <f t="shared" si="12"/>
        <v>5970.5999999999995</v>
      </c>
      <c r="H97" s="81">
        <v>1550</v>
      </c>
      <c r="I97" s="91"/>
      <c r="J97" s="31"/>
      <c r="K97" s="32"/>
      <c r="L97" s="33">
        <v>1300</v>
      </c>
      <c r="M97" s="34"/>
      <c r="N97" s="43">
        <v>250</v>
      </c>
      <c r="O97" s="36"/>
      <c r="P97" s="37">
        <f t="shared" si="1"/>
        <v>1550</v>
      </c>
    </row>
    <row r="98" spans="1:16" ht="42.75">
      <c r="A98" s="22">
        <v>96</v>
      </c>
      <c r="B98" s="94" t="s">
        <v>147</v>
      </c>
      <c r="C98" s="76" t="s">
        <v>118</v>
      </c>
      <c r="D98" s="84" t="s">
        <v>148</v>
      </c>
      <c r="E98" s="78"/>
      <c r="F98" s="81">
        <v>0.33</v>
      </c>
      <c r="G98" s="80">
        <f t="shared" si="12"/>
        <v>8.25</v>
      </c>
      <c r="H98" s="81">
        <v>25</v>
      </c>
      <c r="I98" s="91"/>
      <c r="J98" s="31"/>
      <c r="K98" s="32"/>
      <c r="L98" s="33">
        <v>0</v>
      </c>
      <c r="M98" s="34">
        <v>25</v>
      </c>
      <c r="N98" s="43"/>
      <c r="O98" s="36"/>
      <c r="P98" s="37">
        <f t="shared" si="1"/>
        <v>25</v>
      </c>
    </row>
    <row r="99" spans="1:16" ht="42.75">
      <c r="A99" s="22">
        <v>97</v>
      </c>
      <c r="B99" s="94" t="s">
        <v>149</v>
      </c>
      <c r="C99" s="76" t="s">
        <v>118</v>
      </c>
      <c r="D99" s="84"/>
      <c r="E99" s="78">
        <v>47574</v>
      </c>
      <c r="F99" s="81">
        <v>2.2469999999999999</v>
      </c>
      <c r="G99" s="80">
        <f t="shared" si="12"/>
        <v>6741</v>
      </c>
      <c r="H99" s="81">
        <v>3000</v>
      </c>
      <c r="I99" s="95"/>
      <c r="J99" s="96"/>
      <c r="K99" s="32"/>
      <c r="L99" s="33">
        <v>3000</v>
      </c>
      <c r="M99" s="34"/>
      <c r="N99" s="35"/>
      <c r="O99" s="36"/>
      <c r="P99" s="37">
        <f t="shared" si="1"/>
        <v>3000</v>
      </c>
    </row>
    <row r="100" spans="1:16" ht="28.5">
      <c r="A100" s="22">
        <v>98</v>
      </c>
      <c r="B100" s="94" t="s">
        <v>150</v>
      </c>
      <c r="C100" s="76" t="s">
        <v>20</v>
      </c>
      <c r="D100" s="84" t="s">
        <v>151</v>
      </c>
      <c r="E100" s="78">
        <v>46600</v>
      </c>
      <c r="F100" s="81">
        <v>74.900000000000006</v>
      </c>
      <c r="G100" s="80">
        <f t="shared" si="12"/>
        <v>749</v>
      </c>
      <c r="H100" s="81">
        <v>10</v>
      </c>
      <c r="I100" s="95">
        <v>2000</v>
      </c>
      <c r="J100" s="96"/>
      <c r="K100" s="32"/>
      <c r="L100" s="33">
        <f>2000-1000</f>
        <v>1000</v>
      </c>
      <c r="M100" s="34">
        <v>1000</v>
      </c>
      <c r="N100" s="35"/>
      <c r="O100" s="36"/>
      <c r="P100" s="37">
        <f t="shared" si="1"/>
        <v>2000</v>
      </c>
    </row>
    <row r="101" spans="1:16" ht="14.25">
      <c r="A101" s="22">
        <v>99</v>
      </c>
      <c r="B101" s="94" t="s">
        <v>152</v>
      </c>
      <c r="C101" s="76" t="s">
        <v>118</v>
      </c>
      <c r="D101" s="84"/>
      <c r="E101" s="78"/>
      <c r="F101" s="81">
        <v>57.37</v>
      </c>
      <c r="G101" s="89">
        <f t="shared" si="12"/>
        <v>2294.7999999999997</v>
      </c>
      <c r="H101" s="81">
        <v>40</v>
      </c>
      <c r="I101" s="95"/>
      <c r="J101" s="96"/>
      <c r="K101" s="32"/>
      <c r="L101" s="33">
        <v>40</v>
      </c>
      <c r="M101" s="34">
        <v>1</v>
      </c>
      <c r="N101" s="35"/>
      <c r="O101" s="36"/>
      <c r="P101" s="37">
        <f t="shared" si="1"/>
        <v>41</v>
      </c>
    </row>
    <row r="102" spans="1:16" ht="14.25">
      <c r="A102" s="22">
        <v>100</v>
      </c>
      <c r="B102" s="94" t="s">
        <v>153</v>
      </c>
      <c r="C102" s="76" t="s">
        <v>118</v>
      </c>
      <c r="D102" s="84"/>
      <c r="E102" s="78">
        <v>45992</v>
      </c>
      <c r="F102" s="81">
        <v>0.48</v>
      </c>
      <c r="G102" s="80">
        <f t="shared" si="12"/>
        <v>1056</v>
      </c>
      <c r="H102" s="81">
        <v>2200</v>
      </c>
      <c r="I102" s="95"/>
      <c r="J102" s="96"/>
      <c r="K102" s="32"/>
      <c r="L102" s="33">
        <f>150*100-90*100-60*100</f>
        <v>0</v>
      </c>
      <c r="M102" s="34">
        <v>0</v>
      </c>
      <c r="N102" s="35">
        <v>2200</v>
      </c>
      <c r="O102" s="36"/>
      <c r="P102" s="37">
        <f t="shared" si="1"/>
        <v>2200</v>
      </c>
    </row>
    <row r="103" spans="1:16" ht="28.5">
      <c r="A103" s="22">
        <v>101</v>
      </c>
      <c r="B103" s="94" t="s">
        <v>154</v>
      </c>
      <c r="C103" s="76" t="s">
        <v>20</v>
      </c>
      <c r="D103" s="84" t="s">
        <v>122</v>
      </c>
      <c r="E103" s="78">
        <v>45992</v>
      </c>
      <c r="F103" s="79">
        <v>45</v>
      </c>
      <c r="G103" s="80">
        <f t="shared" si="12"/>
        <v>45</v>
      </c>
      <c r="H103" s="81">
        <v>1</v>
      </c>
      <c r="I103" s="85">
        <v>53</v>
      </c>
      <c r="J103" s="31"/>
      <c r="K103" s="32"/>
      <c r="L103" s="33">
        <v>0</v>
      </c>
      <c r="M103" s="34">
        <v>53</v>
      </c>
      <c r="N103" s="35"/>
      <c r="O103" s="36"/>
      <c r="P103" s="37">
        <f t="shared" si="1"/>
        <v>53</v>
      </c>
    </row>
    <row r="104" spans="1:16" ht="28.5">
      <c r="A104" s="38">
        <v>102</v>
      </c>
      <c r="B104" s="94" t="s">
        <v>155</v>
      </c>
      <c r="C104" s="76" t="s">
        <v>20</v>
      </c>
      <c r="D104" s="84" t="s">
        <v>122</v>
      </c>
      <c r="E104" s="78">
        <v>47270</v>
      </c>
      <c r="F104" s="79">
        <v>49</v>
      </c>
      <c r="G104" s="80">
        <f t="shared" si="12"/>
        <v>4508</v>
      </c>
      <c r="H104" s="81">
        <v>92</v>
      </c>
      <c r="I104" s="85">
        <v>9200</v>
      </c>
      <c r="J104" s="31"/>
      <c r="K104" s="32"/>
      <c r="L104" s="33">
        <f>100*100-10*100-20*100</f>
        <v>7000</v>
      </c>
      <c r="M104" s="34">
        <v>2200</v>
      </c>
      <c r="N104" s="35"/>
      <c r="O104" s="36"/>
      <c r="P104" s="37">
        <f t="shared" si="1"/>
        <v>9200</v>
      </c>
    </row>
    <row r="105" spans="1:16" ht="42.75">
      <c r="A105" s="22">
        <v>103</v>
      </c>
      <c r="B105" s="94" t="s">
        <v>156</v>
      </c>
      <c r="C105" s="76" t="s">
        <v>157</v>
      </c>
      <c r="D105" s="84"/>
      <c r="E105" s="78">
        <v>46388</v>
      </c>
      <c r="F105" s="81">
        <v>9.75</v>
      </c>
      <c r="G105" s="80">
        <f t="shared" si="12"/>
        <v>0</v>
      </c>
      <c r="H105" s="81">
        <v>0</v>
      </c>
      <c r="I105" s="97"/>
      <c r="J105" s="31"/>
      <c r="K105" s="32"/>
      <c r="L105" s="33">
        <v>0</v>
      </c>
      <c r="M105" s="34">
        <v>0</v>
      </c>
      <c r="N105" s="35">
        <v>0</v>
      </c>
      <c r="O105" s="36"/>
      <c r="P105" s="37">
        <f t="shared" si="1"/>
        <v>0</v>
      </c>
    </row>
    <row r="106" spans="1:16" ht="31.5" customHeight="1">
      <c r="A106" s="22">
        <v>104</v>
      </c>
      <c r="B106" s="98" t="s">
        <v>158</v>
      </c>
      <c r="C106" s="76" t="s">
        <v>157</v>
      </c>
      <c r="D106" s="87"/>
      <c r="E106" s="86">
        <v>47331</v>
      </c>
      <c r="F106" s="79">
        <v>6.89</v>
      </c>
      <c r="G106" s="80">
        <f t="shared" si="12"/>
        <v>17025.189999999999</v>
      </c>
      <c r="H106" s="81">
        <v>2471</v>
      </c>
      <c r="I106" s="91"/>
      <c r="J106" s="59"/>
      <c r="K106" s="57"/>
      <c r="L106" s="33">
        <f>3009-600-609-400</f>
        <v>1400</v>
      </c>
      <c r="M106" s="34">
        <v>485</v>
      </c>
      <c r="N106" s="35">
        <v>586</v>
      </c>
      <c r="O106" s="36"/>
      <c r="P106" s="37">
        <f t="shared" si="1"/>
        <v>2471</v>
      </c>
    </row>
    <row r="107" spans="1:16" ht="31.5" customHeight="1">
      <c r="A107" s="22">
        <v>105</v>
      </c>
      <c r="B107" s="99" t="s">
        <v>159</v>
      </c>
      <c r="C107" s="76" t="s">
        <v>157</v>
      </c>
      <c r="D107" s="87"/>
      <c r="E107" s="86">
        <v>46327</v>
      </c>
      <c r="F107" s="79">
        <v>5.2</v>
      </c>
      <c r="G107" s="80">
        <f t="shared" si="12"/>
        <v>6635.2</v>
      </c>
      <c r="H107" s="81">
        <v>1276</v>
      </c>
      <c r="I107" s="91"/>
      <c r="J107" s="59"/>
      <c r="K107" s="57"/>
      <c r="L107" s="33">
        <f>4500-1000-500-1000-500-500</f>
        <v>1000</v>
      </c>
      <c r="M107" s="34">
        <v>150</v>
      </c>
      <c r="N107" s="35">
        <v>126</v>
      </c>
      <c r="O107" s="36"/>
      <c r="P107" s="37">
        <f t="shared" si="1"/>
        <v>1276</v>
      </c>
    </row>
    <row r="108" spans="1:16" ht="14.25" hidden="1">
      <c r="A108" s="22"/>
      <c r="B108" s="94"/>
      <c r="C108" s="76"/>
      <c r="D108" s="87"/>
      <c r="E108" s="78"/>
      <c r="F108" s="79"/>
      <c r="G108" s="80"/>
      <c r="H108" s="81"/>
      <c r="I108" s="91"/>
      <c r="J108" s="31"/>
      <c r="K108" s="32"/>
      <c r="L108" s="33"/>
      <c r="M108" s="42"/>
      <c r="N108" s="43"/>
      <c r="O108" s="36"/>
      <c r="P108" s="37"/>
    </row>
    <row r="109" spans="1:16" ht="28.5">
      <c r="A109" s="22">
        <v>106</v>
      </c>
      <c r="B109" s="94" t="s">
        <v>160</v>
      </c>
      <c r="C109" s="76" t="s">
        <v>157</v>
      </c>
      <c r="D109" s="87"/>
      <c r="E109" s="78">
        <v>46357</v>
      </c>
      <c r="F109" s="79">
        <v>1.8855999999999999</v>
      </c>
      <c r="G109" s="80">
        <f t="shared" ref="G109:G146" si="14">F109*H109</f>
        <v>565.67999999999995</v>
      </c>
      <c r="H109" s="81">
        <v>300</v>
      </c>
      <c r="I109" s="91"/>
      <c r="J109" s="31"/>
      <c r="K109" s="32"/>
      <c r="L109" s="33">
        <f>6*50</f>
        <v>300</v>
      </c>
      <c r="M109" s="42">
        <v>0</v>
      </c>
      <c r="N109" s="43">
        <v>0</v>
      </c>
      <c r="O109" s="36"/>
      <c r="P109" s="37">
        <f t="shared" ref="P109:P125" si="15">L109+M109+N109</f>
        <v>300</v>
      </c>
    </row>
    <row r="110" spans="1:16" ht="14.25">
      <c r="A110" s="22">
        <v>107</v>
      </c>
      <c r="B110" s="94" t="s">
        <v>161</v>
      </c>
      <c r="C110" s="76" t="s">
        <v>118</v>
      </c>
      <c r="D110" s="87"/>
      <c r="E110" s="78">
        <v>46023</v>
      </c>
      <c r="F110" s="80">
        <v>1.1000000000000001</v>
      </c>
      <c r="G110" s="80">
        <f t="shared" si="14"/>
        <v>1149.5</v>
      </c>
      <c r="H110" s="81">
        <v>1045</v>
      </c>
      <c r="I110" s="91"/>
      <c r="J110" s="31"/>
      <c r="K110" s="32"/>
      <c r="L110" s="33">
        <v>0</v>
      </c>
      <c r="M110" s="42">
        <v>345</v>
      </c>
      <c r="N110" s="43">
        <v>500</v>
      </c>
      <c r="O110" s="36"/>
      <c r="P110" s="37">
        <f t="shared" si="15"/>
        <v>845</v>
      </c>
    </row>
    <row r="111" spans="1:16" ht="28.5">
      <c r="A111" s="22">
        <v>108</v>
      </c>
      <c r="B111" s="100" t="s">
        <v>162</v>
      </c>
      <c r="C111" s="76" t="s">
        <v>118</v>
      </c>
      <c r="D111" s="87"/>
      <c r="E111" s="78">
        <v>46419</v>
      </c>
      <c r="F111" s="79">
        <v>79</v>
      </c>
      <c r="G111" s="80">
        <f t="shared" si="14"/>
        <v>6952</v>
      </c>
      <c r="H111" s="81">
        <v>88</v>
      </c>
      <c r="I111" s="91"/>
      <c r="J111" s="31"/>
      <c r="K111" s="31"/>
      <c r="L111" s="33">
        <v>0</v>
      </c>
      <c r="M111" s="34">
        <v>88</v>
      </c>
      <c r="N111" s="35"/>
      <c r="O111" s="36"/>
      <c r="P111" s="37">
        <f t="shared" si="15"/>
        <v>88</v>
      </c>
    </row>
    <row r="112" spans="1:16" ht="28.5">
      <c r="A112" s="22">
        <v>109</v>
      </c>
      <c r="B112" s="94" t="s">
        <v>163</v>
      </c>
      <c r="C112" s="76" t="s">
        <v>118</v>
      </c>
      <c r="D112" s="87"/>
      <c r="E112" s="78"/>
      <c r="F112" s="79">
        <v>1</v>
      </c>
      <c r="G112" s="80">
        <f t="shared" si="14"/>
        <v>0</v>
      </c>
      <c r="H112" s="81">
        <v>0</v>
      </c>
      <c r="I112" s="85"/>
      <c r="J112" s="96"/>
      <c r="K112" s="32"/>
      <c r="L112" s="45">
        <v>0</v>
      </c>
      <c r="M112" s="34">
        <v>0</v>
      </c>
      <c r="N112" s="43"/>
      <c r="O112" s="36"/>
      <c r="P112" s="37">
        <f t="shared" si="15"/>
        <v>0</v>
      </c>
    </row>
    <row r="113" spans="1:16" ht="14.25">
      <c r="A113" s="38">
        <v>110</v>
      </c>
      <c r="B113" s="94" t="s">
        <v>164</v>
      </c>
      <c r="C113" s="76" t="s">
        <v>118</v>
      </c>
      <c r="D113" s="87"/>
      <c r="E113" s="78">
        <v>47300</v>
      </c>
      <c r="F113" s="81">
        <v>3.1030000000000002</v>
      </c>
      <c r="G113" s="80">
        <f t="shared" si="14"/>
        <v>11791.400000000001</v>
      </c>
      <c r="H113" s="81">
        <v>3800</v>
      </c>
      <c r="I113" s="85"/>
      <c r="J113" s="96"/>
      <c r="K113" s="32"/>
      <c r="L113" s="45">
        <v>0</v>
      </c>
      <c r="M113" s="34"/>
      <c r="N113" s="43">
        <v>3800</v>
      </c>
      <c r="O113" s="36"/>
      <c r="P113" s="37">
        <f t="shared" si="15"/>
        <v>3800</v>
      </c>
    </row>
    <row r="114" spans="1:16" ht="28.5">
      <c r="A114" s="38">
        <v>111</v>
      </c>
      <c r="B114" s="94" t="s">
        <v>165</v>
      </c>
      <c r="C114" s="76" t="s">
        <v>118</v>
      </c>
      <c r="D114" s="87"/>
      <c r="E114" s="78">
        <v>47515</v>
      </c>
      <c r="F114" s="81">
        <v>3.5310000000000001</v>
      </c>
      <c r="G114" s="80">
        <f t="shared" si="14"/>
        <v>176.55</v>
      </c>
      <c r="H114" s="81">
        <v>50</v>
      </c>
      <c r="I114" s="85"/>
      <c r="J114" s="96"/>
      <c r="K114" s="32"/>
      <c r="L114" s="45">
        <v>50</v>
      </c>
      <c r="M114" s="34"/>
      <c r="N114" s="43"/>
      <c r="O114" s="36"/>
      <c r="P114" s="37">
        <f t="shared" si="15"/>
        <v>50</v>
      </c>
    </row>
    <row r="115" spans="1:16" ht="28.5">
      <c r="A115" s="38">
        <v>112</v>
      </c>
      <c r="B115" s="94" t="s">
        <v>166</v>
      </c>
      <c r="C115" s="76" t="s">
        <v>118</v>
      </c>
      <c r="D115" s="87"/>
      <c r="E115" s="78">
        <v>46296</v>
      </c>
      <c r="F115" s="81">
        <v>0.89</v>
      </c>
      <c r="G115" s="80">
        <f t="shared" si="14"/>
        <v>2225</v>
      </c>
      <c r="H115" s="81">
        <v>2500</v>
      </c>
      <c r="I115" s="85"/>
      <c r="J115" s="96"/>
      <c r="K115" s="32"/>
      <c r="L115" s="45">
        <f>2500</f>
        <v>2500</v>
      </c>
      <c r="M115" s="34"/>
      <c r="N115" s="43">
        <v>0</v>
      </c>
      <c r="O115" s="36"/>
      <c r="P115" s="37">
        <f t="shared" si="15"/>
        <v>2500</v>
      </c>
    </row>
    <row r="116" spans="1:16" ht="28.5">
      <c r="A116" s="22">
        <v>113</v>
      </c>
      <c r="B116" s="94" t="s">
        <v>167</v>
      </c>
      <c r="C116" s="76" t="s">
        <v>118</v>
      </c>
      <c r="D116" s="87"/>
      <c r="E116" s="78">
        <v>47453</v>
      </c>
      <c r="F116" s="81">
        <v>1.498</v>
      </c>
      <c r="G116" s="80">
        <f t="shared" si="14"/>
        <v>3999.66</v>
      </c>
      <c r="H116" s="81">
        <v>2670</v>
      </c>
      <c r="I116" s="85"/>
      <c r="J116" s="96"/>
      <c r="K116" s="32"/>
      <c r="L116" s="33">
        <f>3000-500</f>
        <v>2500</v>
      </c>
      <c r="M116" s="34">
        <v>170</v>
      </c>
      <c r="N116" s="35"/>
      <c r="O116" s="36"/>
      <c r="P116" s="37">
        <f t="shared" si="15"/>
        <v>2670</v>
      </c>
    </row>
    <row r="117" spans="1:16" ht="14.25">
      <c r="A117" s="22">
        <v>114</v>
      </c>
      <c r="B117" s="94" t="s">
        <v>168</v>
      </c>
      <c r="C117" s="76" t="s">
        <v>118</v>
      </c>
      <c r="D117" s="87"/>
      <c r="E117" s="78">
        <v>46874</v>
      </c>
      <c r="F117" s="81">
        <v>1.65</v>
      </c>
      <c r="G117" s="89">
        <f t="shared" si="14"/>
        <v>311.84999999999997</v>
      </c>
      <c r="H117" s="81">
        <v>189</v>
      </c>
      <c r="I117" s="85"/>
      <c r="J117" s="96"/>
      <c r="K117" s="32"/>
      <c r="L117" s="33">
        <f>2400-1200-1200</f>
        <v>0</v>
      </c>
      <c r="M117" s="34">
        <v>0</v>
      </c>
      <c r="N117" s="35">
        <v>189</v>
      </c>
      <c r="O117" s="36"/>
      <c r="P117" s="37">
        <f t="shared" si="15"/>
        <v>189</v>
      </c>
    </row>
    <row r="118" spans="1:16" ht="28.5">
      <c r="A118" s="22">
        <v>115</v>
      </c>
      <c r="B118" s="94" t="s">
        <v>169</v>
      </c>
      <c r="C118" s="76" t="s">
        <v>118</v>
      </c>
      <c r="D118" s="87"/>
      <c r="E118" s="78"/>
      <c r="F118" s="81">
        <v>11.984</v>
      </c>
      <c r="G118" s="80">
        <f t="shared" si="14"/>
        <v>59.92</v>
      </c>
      <c r="H118" s="81">
        <v>5</v>
      </c>
      <c r="I118" s="91"/>
      <c r="J118" s="31"/>
      <c r="K118" s="32"/>
      <c r="L118" s="33"/>
      <c r="M118" s="34">
        <v>0</v>
      </c>
      <c r="N118" s="35">
        <v>5</v>
      </c>
      <c r="O118" s="36"/>
      <c r="P118" s="37">
        <f t="shared" si="15"/>
        <v>5</v>
      </c>
    </row>
    <row r="119" spans="1:16" ht="28.5">
      <c r="A119" s="38">
        <v>116</v>
      </c>
      <c r="B119" s="94" t="s">
        <v>170</v>
      </c>
      <c r="C119" s="76" t="s">
        <v>118</v>
      </c>
      <c r="D119" s="84"/>
      <c r="E119" s="78"/>
      <c r="F119" s="79">
        <v>6.3558000000000003</v>
      </c>
      <c r="G119" s="80">
        <f t="shared" si="14"/>
        <v>5071.9284000000007</v>
      </c>
      <c r="H119" s="81">
        <v>798</v>
      </c>
      <c r="I119" s="85"/>
      <c r="J119" s="31"/>
      <c r="K119" s="32"/>
      <c r="L119" s="33">
        <v>50</v>
      </c>
      <c r="M119" s="34">
        <v>748</v>
      </c>
      <c r="N119" s="35"/>
      <c r="O119" s="36"/>
      <c r="P119" s="37">
        <f t="shared" si="15"/>
        <v>798</v>
      </c>
    </row>
    <row r="120" spans="1:16" ht="42.75">
      <c r="A120" s="38">
        <v>117</v>
      </c>
      <c r="B120" s="94" t="s">
        <v>171</v>
      </c>
      <c r="C120" s="76" t="s">
        <v>118</v>
      </c>
      <c r="D120" s="84" t="s">
        <v>122</v>
      </c>
      <c r="E120" s="78"/>
      <c r="F120" s="79">
        <v>500</v>
      </c>
      <c r="G120" s="80">
        <f t="shared" si="14"/>
        <v>3500</v>
      </c>
      <c r="H120" s="81">
        <v>7</v>
      </c>
      <c r="I120" s="85">
        <v>606</v>
      </c>
      <c r="J120" s="31"/>
      <c r="K120" s="32"/>
      <c r="L120" s="33">
        <v>0</v>
      </c>
      <c r="M120" s="34">
        <v>606</v>
      </c>
      <c r="N120" s="35"/>
      <c r="O120" s="36"/>
      <c r="P120" s="37">
        <f t="shared" si="15"/>
        <v>606</v>
      </c>
    </row>
    <row r="121" spans="1:16" ht="28.5">
      <c r="A121" s="22">
        <v>118</v>
      </c>
      <c r="B121" s="94" t="s">
        <v>172</v>
      </c>
      <c r="C121" s="76"/>
      <c r="D121" s="84"/>
      <c r="E121" s="78"/>
      <c r="F121" s="79">
        <v>5.8315000000000001</v>
      </c>
      <c r="G121" s="80">
        <f t="shared" si="14"/>
        <v>12100.362500000001</v>
      </c>
      <c r="H121" s="81">
        <v>2075</v>
      </c>
      <c r="I121" s="85"/>
      <c r="J121" s="31"/>
      <c r="K121" s="32"/>
      <c r="L121" s="33">
        <f>2200-1000</f>
        <v>1200</v>
      </c>
      <c r="M121" s="34"/>
      <c r="N121" s="35">
        <v>875</v>
      </c>
      <c r="O121" s="36"/>
      <c r="P121" s="37">
        <f t="shared" si="15"/>
        <v>2075</v>
      </c>
    </row>
    <row r="122" spans="1:16" ht="28.5">
      <c r="A122" s="22">
        <v>119</v>
      </c>
      <c r="B122" s="94" t="s">
        <v>173</v>
      </c>
      <c r="C122" s="76"/>
      <c r="D122" s="84"/>
      <c r="E122" s="78"/>
      <c r="F122" s="79">
        <v>3.21</v>
      </c>
      <c r="G122" s="80">
        <f t="shared" si="14"/>
        <v>22242.09</v>
      </c>
      <c r="H122" s="81">
        <v>6929</v>
      </c>
      <c r="I122" s="85"/>
      <c r="J122" s="31"/>
      <c r="K122" s="32"/>
      <c r="L122" s="33">
        <f>7000-500-100</f>
        <v>6400</v>
      </c>
      <c r="M122" s="34">
        <v>430</v>
      </c>
      <c r="N122" s="35">
        <v>99</v>
      </c>
      <c r="O122" s="36"/>
      <c r="P122" s="37">
        <f t="shared" si="15"/>
        <v>6929</v>
      </c>
    </row>
    <row r="123" spans="1:16" ht="42.75">
      <c r="A123" s="22">
        <v>120</v>
      </c>
      <c r="B123" s="94" t="s">
        <v>174</v>
      </c>
      <c r="C123" s="76" t="s">
        <v>118</v>
      </c>
      <c r="D123" s="84" t="s">
        <v>122</v>
      </c>
      <c r="E123" s="78"/>
      <c r="F123" s="81">
        <v>3.1410999999999998</v>
      </c>
      <c r="G123" s="80">
        <f t="shared" si="14"/>
        <v>0</v>
      </c>
      <c r="H123" s="81">
        <v>0</v>
      </c>
      <c r="I123" s="91"/>
      <c r="J123" s="32"/>
      <c r="K123" s="31"/>
      <c r="L123" s="45">
        <v>0</v>
      </c>
      <c r="M123" s="34">
        <v>0</v>
      </c>
      <c r="N123" s="35">
        <v>0</v>
      </c>
      <c r="O123" s="36"/>
      <c r="P123" s="37">
        <f t="shared" si="15"/>
        <v>0</v>
      </c>
    </row>
    <row r="124" spans="1:16" ht="28.5">
      <c r="A124" s="22">
        <v>121</v>
      </c>
      <c r="B124" s="94" t="s">
        <v>175</v>
      </c>
      <c r="C124" s="76" t="s">
        <v>118</v>
      </c>
      <c r="D124" s="87"/>
      <c r="E124" s="78"/>
      <c r="F124" s="81">
        <v>0.37</v>
      </c>
      <c r="G124" s="80">
        <f t="shared" si="14"/>
        <v>1600.25</v>
      </c>
      <c r="H124" s="81">
        <v>4325</v>
      </c>
      <c r="I124" s="91"/>
      <c r="J124" s="32"/>
      <c r="K124" s="31"/>
      <c r="L124" s="45">
        <f>5000-500-1000</f>
        <v>3500</v>
      </c>
      <c r="M124" s="34">
        <v>450</v>
      </c>
      <c r="N124" s="35">
        <v>375</v>
      </c>
      <c r="O124" s="36"/>
      <c r="P124" s="37">
        <f t="shared" si="15"/>
        <v>4325</v>
      </c>
    </row>
    <row r="125" spans="1:16" ht="14.25">
      <c r="A125" s="22">
        <v>122</v>
      </c>
      <c r="B125" s="94" t="s">
        <v>176</v>
      </c>
      <c r="C125" s="76" t="s">
        <v>118</v>
      </c>
      <c r="D125" s="87"/>
      <c r="E125" s="86">
        <v>45809</v>
      </c>
      <c r="F125" s="81">
        <v>9478.06</v>
      </c>
      <c r="G125" s="80">
        <f t="shared" si="14"/>
        <v>0</v>
      </c>
      <c r="H125" s="81">
        <v>0</v>
      </c>
      <c r="I125" s="85">
        <v>0</v>
      </c>
      <c r="J125" s="31"/>
      <c r="K125" s="32"/>
      <c r="L125" s="101"/>
      <c r="M125" s="34"/>
      <c r="N125" s="43">
        <v>0</v>
      </c>
      <c r="O125" s="36"/>
      <c r="P125" s="37">
        <f t="shared" si="15"/>
        <v>0</v>
      </c>
    </row>
    <row r="126" spans="1:16" ht="42.75">
      <c r="A126" s="22">
        <v>123</v>
      </c>
      <c r="B126" s="102" t="s">
        <v>177</v>
      </c>
      <c r="C126" s="76" t="s">
        <v>118</v>
      </c>
      <c r="D126" s="87"/>
      <c r="E126" s="86"/>
      <c r="F126" s="81">
        <v>2086.5</v>
      </c>
      <c r="G126" s="80">
        <f t="shared" si="14"/>
        <v>2086.5</v>
      </c>
      <c r="H126" s="81">
        <v>1</v>
      </c>
      <c r="I126" s="85"/>
      <c r="J126" s="31"/>
      <c r="K126" s="32"/>
      <c r="L126" s="33">
        <v>0</v>
      </c>
      <c r="M126" s="34"/>
      <c r="N126" s="43">
        <v>1</v>
      </c>
      <c r="O126" s="36"/>
      <c r="P126" s="37"/>
    </row>
    <row r="127" spans="1:16" ht="42.75">
      <c r="A127" s="22">
        <v>124</v>
      </c>
      <c r="B127" s="94" t="s">
        <v>178</v>
      </c>
      <c r="C127" s="76" t="s">
        <v>118</v>
      </c>
      <c r="D127" s="87"/>
      <c r="E127" s="86">
        <v>45809</v>
      </c>
      <c r="F127" s="81">
        <v>7755.56</v>
      </c>
      <c r="G127" s="80">
        <f t="shared" si="14"/>
        <v>7755.56</v>
      </c>
      <c r="H127" s="81">
        <v>1</v>
      </c>
      <c r="I127" s="85">
        <v>0</v>
      </c>
      <c r="J127" s="31"/>
      <c r="K127" s="32"/>
      <c r="L127" s="101"/>
      <c r="M127" s="34"/>
      <c r="N127" s="43">
        <v>1</v>
      </c>
      <c r="O127" s="36"/>
      <c r="P127" s="37">
        <f t="shared" ref="P127:P130" si="16">L127+M127+N127</f>
        <v>1</v>
      </c>
    </row>
    <row r="128" spans="1:16" ht="28.5">
      <c r="A128" s="22">
        <v>125</v>
      </c>
      <c r="B128" s="94" t="s">
        <v>179</v>
      </c>
      <c r="C128" s="76" t="s">
        <v>118</v>
      </c>
      <c r="D128" s="87"/>
      <c r="E128" s="86">
        <v>45748</v>
      </c>
      <c r="F128" s="79">
        <v>1701.3</v>
      </c>
      <c r="G128" s="80">
        <f t="shared" si="14"/>
        <v>3402.6</v>
      </c>
      <c r="H128" s="81">
        <v>2</v>
      </c>
      <c r="I128" s="91"/>
      <c r="J128" s="31"/>
      <c r="K128" s="32"/>
      <c r="L128" s="33">
        <v>0</v>
      </c>
      <c r="M128" s="34"/>
      <c r="N128" s="43">
        <v>2</v>
      </c>
      <c r="O128" s="36"/>
      <c r="P128" s="37">
        <f t="shared" si="16"/>
        <v>2</v>
      </c>
    </row>
    <row r="129" spans="1:16" ht="14.25">
      <c r="A129" s="38">
        <v>126</v>
      </c>
      <c r="B129" s="94" t="s">
        <v>180</v>
      </c>
      <c r="C129" s="76" t="s">
        <v>118</v>
      </c>
      <c r="D129" s="87"/>
      <c r="E129" s="78">
        <v>45870</v>
      </c>
      <c r="F129" s="79">
        <v>2314.41</v>
      </c>
      <c r="G129" s="80">
        <f t="shared" si="14"/>
        <v>2314.41</v>
      </c>
      <c r="H129" s="81">
        <v>1</v>
      </c>
      <c r="I129" s="91"/>
      <c r="J129" s="31"/>
      <c r="K129" s="32"/>
      <c r="L129" s="33">
        <v>0</v>
      </c>
      <c r="M129" s="42"/>
      <c r="N129" s="43">
        <v>1</v>
      </c>
      <c r="O129" s="36"/>
      <c r="P129" s="37">
        <f t="shared" si="16"/>
        <v>1</v>
      </c>
    </row>
    <row r="130" spans="1:16" ht="14.25">
      <c r="A130" s="22">
        <v>127</v>
      </c>
      <c r="B130" s="94" t="s">
        <v>180</v>
      </c>
      <c r="C130" s="76" t="s">
        <v>118</v>
      </c>
      <c r="D130" s="87"/>
      <c r="E130" s="78">
        <v>46174</v>
      </c>
      <c r="F130" s="79">
        <v>2887.93</v>
      </c>
      <c r="G130" s="80">
        <f t="shared" si="14"/>
        <v>11551.72</v>
      </c>
      <c r="H130" s="81">
        <v>4</v>
      </c>
      <c r="I130" s="91"/>
      <c r="J130" s="32"/>
      <c r="K130" s="32"/>
      <c r="L130" s="33">
        <v>0</v>
      </c>
      <c r="M130" s="34"/>
      <c r="N130" s="43">
        <v>4</v>
      </c>
      <c r="O130" s="36"/>
      <c r="P130" s="37">
        <f t="shared" si="16"/>
        <v>4</v>
      </c>
    </row>
    <row r="131" spans="1:16" ht="14.25">
      <c r="A131" s="22">
        <v>128</v>
      </c>
      <c r="B131" s="94" t="s">
        <v>180</v>
      </c>
      <c r="C131" s="76" t="s">
        <v>118</v>
      </c>
      <c r="D131" s="87"/>
      <c r="E131" s="78"/>
      <c r="F131" s="103">
        <v>2699</v>
      </c>
      <c r="G131" s="80">
        <f t="shared" si="14"/>
        <v>0</v>
      </c>
      <c r="H131" s="81">
        <v>0</v>
      </c>
      <c r="I131" s="91"/>
      <c r="J131" s="32"/>
      <c r="K131" s="32"/>
      <c r="L131" s="33">
        <v>0</v>
      </c>
      <c r="M131" s="34"/>
      <c r="N131" s="43"/>
      <c r="O131" s="36"/>
      <c r="P131" s="37"/>
    </row>
    <row r="132" spans="1:16" ht="14.25">
      <c r="A132" s="22">
        <v>129</v>
      </c>
      <c r="B132" s="94" t="s">
        <v>181</v>
      </c>
      <c r="C132" s="76" t="s">
        <v>118</v>
      </c>
      <c r="D132" s="87"/>
      <c r="E132" s="78">
        <v>46692</v>
      </c>
      <c r="F132" s="103">
        <v>1712</v>
      </c>
      <c r="G132" s="80">
        <f t="shared" si="14"/>
        <v>1712</v>
      </c>
      <c r="H132" s="81">
        <v>1</v>
      </c>
      <c r="I132" s="91"/>
      <c r="J132" s="32"/>
      <c r="K132" s="32"/>
      <c r="L132" s="33">
        <v>0</v>
      </c>
      <c r="M132" s="34"/>
      <c r="N132" s="43">
        <v>1</v>
      </c>
      <c r="O132" s="36"/>
      <c r="P132" s="37">
        <f t="shared" ref="P132:P133" si="17">L132+M132+N132</f>
        <v>1</v>
      </c>
    </row>
    <row r="133" spans="1:16" ht="14.25">
      <c r="A133" s="22">
        <v>130</v>
      </c>
      <c r="B133" s="94" t="s">
        <v>182</v>
      </c>
      <c r="C133" s="76" t="s">
        <v>118</v>
      </c>
      <c r="D133" s="87"/>
      <c r="E133" s="78">
        <v>46327</v>
      </c>
      <c r="F133" s="103">
        <v>2573.35</v>
      </c>
      <c r="G133" s="80">
        <f t="shared" si="14"/>
        <v>2573.35</v>
      </c>
      <c r="H133" s="81">
        <v>1</v>
      </c>
      <c r="I133" s="91"/>
      <c r="J133" s="32"/>
      <c r="K133" s="32"/>
      <c r="L133" s="33">
        <v>0</v>
      </c>
      <c r="M133" s="34"/>
      <c r="N133" s="43">
        <v>0</v>
      </c>
      <c r="O133" s="36"/>
      <c r="P133" s="37">
        <f t="shared" si="17"/>
        <v>0</v>
      </c>
    </row>
    <row r="134" spans="1:16" ht="28.5">
      <c r="A134" s="22">
        <v>131</v>
      </c>
      <c r="B134" s="94" t="s">
        <v>183</v>
      </c>
      <c r="C134" s="76" t="s">
        <v>118</v>
      </c>
      <c r="D134" s="87"/>
      <c r="E134" s="78"/>
      <c r="F134" s="103">
        <v>785.38</v>
      </c>
      <c r="G134" s="80">
        <f t="shared" si="14"/>
        <v>1570.76</v>
      </c>
      <c r="H134" s="81">
        <v>2</v>
      </c>
      <c r="I134" s="91"/>
      <c r="J134" s="32"/>
      <c r="K134" s="32"/>
      <c r="L134" s="33"/>
      <c r="M134" s="34"/>
      <c r="N134" s="43">
        <v>2</v>
      </c>
      <c r="O134" s="36"/>
      <c r="P134" s="37"/>
    </row>
    <row r="135" spans="1:16" ht="14.25">
      <c r="A135" s="22">
        <v>132</v>
      </c>
      <c r="B135" s="94" t="s">
        <v>184</v>
      </c>
      <c r="C135" s="76" t="s">
        <v>118</v>
      </c>
      <c r="D135" s="87"/>
      <c r="E135" s="78"/>
      <c r="F135" s="103">
        <v>454.75</v>
      </c>
      <c r="G135" s="80">
        <f t="shared" si="14"/>
        <v>454.75</v>
      </c>
      <c r="H135" s="81">
        <v>1</v>
      </c>
      <c r="I135" s="91"/>
      <c r="J135" s="32"/>
      <c r="K135" s="32"/>
      <c r="L135" s="33"/>
      <c r="M135" s="34"/>
      <c r="N135" s="43">
        <v>1</v>
      </c>
      <c r="O135" s="36"/>
      <c r="P135" s="37"/>
    </row>
    <row r="136" spans="1:16" ht="14.25">
      <c r="A136" s="22">
        <v>133</v>
      </c>
      <c r="B136" s="94" t="s">
        <v>185</v>
      </c>
      <c r="C136" s="76" t="s">
        <v>118</v>
      </c>
      <c r="D136" s="84" t="s">
        <v>186</v>
      </c>
      <c r="E136" s="78">
        <v>46813</v>
      </c>
      <c r="F136" s="79">
        <v>124</v>
      </c>
      <c r="G136" s="80">
        <f t="shared" si="14"/>
        <v>0</v>
      </c>
      <c r="H136" s="81">
        <v>0</v>
      </c>
      <c r="I136" s="85">
        <v>0</v>
      </c>
      <c r="J136" s="31"/>
      <c r="K136" s="31"/>
      <c r="L136" s="33"/>
      <c r="M136" s="34"/>
      <c r="N136" s="35">
        <v>0</v>
      </c>
      <c r="O136" s="104"/>
      <c r="P136" s="37">
        <f t="shared" ref="P136:P147" si="18">L136+M136+N136</f>
        <v>0</v>
      </c>
    </row>
    <row r="137" spans="1:16" ht="14.25">
      <c r="A137" s="22">
        <v>134</v>
      </c>
      <c r="B137" s="94" t="s">
        <v>187</v>
      </c>
      <c r="C137" s="76" t="s">
        <v>118</v>
      </c>
      <c r="D137" s="84" t="s">
        <v>186</v>
      </c>
      <c r="E137" s="78"/>
      <c r="F137" s="79">
        <v>303</v>
      </c>
      <c r="G137" s="80">
        <f t="shared" si="14"/>
        <v>1515</v>
      </c>
      <c r="H137" s="81">
        <v>5</v>
      </c>
      <c r="I137" s="85">
        <v>4270</v>
      </c>
      <c r="J137" s="31"/>
      <c r="K137" s="31"/>
      <c r="L137" s="33"/>
      <c r="M137" s="34"/>
      <c r="N137" s="35">
        <v>4270</v>
      </c>
      <c r="O137" s="104"/>
      <c r="P137" s="37">
        <f t="shared" si="18"/>
        <v>4270</v>
      </c>
    </row>
    <row r="138" spans="1:16" ht="28.5">
      <c r="A138" s="22">
        <v>135</v>
      </c>
      <c r="B138" s="94" t="s">
        <v>188</v>
      </c>
      <c r="C138" s="76" t="s">
        <v>118</v>
      </c>
      <c r="D138" s="84" t="s">
        <v>189</v>
      </c>
      <c r="E138" s="78">
        <v>46813</v>
      </c>
      <c r="F138" s="79">
        <v>153</v>
      </c>
      <c r="G138" s="80">
        <f t="shared" si="14"/>
        <v>612</v>
      </c>
      <c r="H138" s="81">
        <v>4</v>
      </c>
      <c r="I138" s="85">
        <v>1530</v>
      </c>
      <c r="J138" s="31"/>
      <c r="K138" s="31"/>
      <c r="L138" s="33"/>
      <c r="M138" s="34"/>
      <c r="N138" s="35">
        <v>1530</v>
      </c>
      <c r="O138" s="104"/>
      <c r="P138" s="37">
        <f t="shared" si="18"/>
        <v>1530</v>
      </c>
    </row>
    <row r="139" spans="1:16" ht="28.5">
      <c r="A139" s="22">
        <v>136</v>
      </c>
      <c r="B139" s="94" t="s">
        <v>190</v>
      </c>
      <c r="C139" s="76"/>
      <c r="D139" s="84" t="s">
        <v>189</v>
      </c>
      <c r="E139" s="78"/>
      <c r="F139" s="79">
        <v>297</v>
      </c>
      <c r="G139" s="80">
        <f t="shared" si="14"/>
        <v>594</v>
      </c>
      <c r="H139" s="81">
        <v>2</v>
      </c>
      <c r="I139" s="85">
        <v>870</v>
      </c>
      <c r="J139" s="31"/>
      <c r="K139" s="31"/>
      <c r="L139" s="33"/>
      <c r="M139" s="34"/>
      <c r="N139" s="35">
        <v>870</v>
      </c>
      <c r="O139" s="104"/>
      <c r="P139" s="37">
        <f t="shared" si="18"/>
        <v>870</v>
      </c>
    </row>
    <row r="140" spans="1:16" ht="14.25">
      <c r="A140" s="38">
        <v>137</v>
      </c>
      <c r="B140" s="94" t="s">
        <v>191</v>
      </c>
      <c r="C140" s="76" t="s">
        <v>118</v>
      </c>
      <c r="D140" s="87"/>
      <c r="E140" s="78">
        <v>46204</v>
      </c>
      <c r="F140" s="79">
        <v>172</v>
      </c>
      <c r="G140" s="80">
        <f t="shared" si="14"/>
        <v>860</v>
      </c>
      <c r="H140" s="81">
        <v>5</v>
      </c>
      <c r="I140" s="91"/>
      <c r="J140" s="31"/>
      <c r="K140" s="31"/>
      <c r="L140" s="33">
        <v>5</v>
      </c>
      <c r="M140" s="34"/>
      <c r="N140" s="35"/>
      <c r="O140" s="104"/>
      <c r="P140" s="37">
        <f t="shared" si="18"/>
        <v>5</v>
      </c>
    </row>
    <row r="141" spans="1:16" ht="14.25">
      <c r="A141" s="22">
        <v>138</v>
      </c>
      <c r="B141" s="94" t="s">
        <v>192</v>
      </c>
      <c r="C141" s="76" t="s">
        <v>118</v>
      </c>
      <c r="D141" s="84" t="s">
        <v>193</v>
      </c>
      <c r="E141" s="78">
        <v>46204</v>
      </c>
      <c r="F141" s="79">
        <v>212</v>
      </c>
      <c r="G141" s="80">
        <f t="shared" si="14"/>
        <v>2756</v>
      </c>
      <c r="H141" s="81">
        <v>13</v>
      </c>
      <c r="I141" s="91"/>
      <c r="J141" s="31"/>
      <c r="K141" s="32"/>
      <c r="L141" s="33">
        <v>10</v>
      </c>
      <c r="M141" s="34">
        <v>1</v>
      </c>
      <c r="N141" s="35">
        <v>2</v>
      </c>
      <c r="O141" s="105"/>
      <c r="P141" s="37">
        <f t="shared" si="18"/>
        <v>13</v>
      </c>
    </row>
    <row r="142" spans="1:16" ht="14.25">
      <c r="A142" s="38">
        <v>139</v>
      </c>
      <c r="B142" s="94" t="s">
        <v>194</v>
      </c>
      <c r="C142" s="76" t="s">
        <v>118</v>
      </c>
      <c r="D142" s="84" t="s">
        <v>193</v>
      </c>
      <c r="E142" s="78">
        <v>45992</v>
      </c>
      <c r="F142" s="79">
        <v>212</v>
      </c>
      <c r="G142" s="80">
        <f t="shared" si="14"/>
        <v>1060</v>
      </c>
      <c r="H142" s="81">
        <v>5</v>
      </c>
      <c r="I142" s="91"/>
      <c r="J142" s="31"/>
      <c r="K142" s="32"/>
      <c r="L142" s="33">
        <v>5</v>
      </c>
      <c r="M142" s="34">
        <v>0</v>
      </c>
      <c r="N142" s="35">
        <v>0</v>
      </c>
      <c r="O142" s="105"/>
      <c r="P142" s="37">
        <f t="shared" si="18"/>
        <v>5</v>
      </c>
    </row>
    <row r="143" spans="1:16" ht="14.25">
      <c r="A143" s="22">
        <v>140</v>
      </c>
      <c r="B143" s="100" t="s">
        <v>195</v>
      </c>
      <c r="C143" s="76" t="s">
        <v>118</v>
      </c>
      <c r="D143" s="84" t="s">
        <v>193</v>
      </c>
      <c r="E143" s="78">
        <v>46082</v>
      </c>
      <c r="F143" s="79">
        <v>344</v>
      </c>
      <c r="G143" s="80">
        <f t="shared" si="14"/>
        <v>2064</v>
      </c>
      <c r="H143" s="81">
        <v>6</v>
      </c>
      <c r="I143" s="91"/>
      <c r="J143" s="32"/>
      <c r="K143" s="32"/>
      <c r="L143" s="33">
        <v>0</v>
      </c>
      <c r="M143" s="34">
        <v>6</v>
      </c>
      <c r="N143" s="35">
        <v>0</v>
      </c>
      <c r="O143" s="66"/>
      <c r="P143" s="37">
        <f t="shared" si="18"/>
        <v>6</v>
      </c>
    </row>
    <row r="144" spans="1:16" ht="28.5">
      <c r="A144" s="22">
        <v>141</v>
      </c>
      <c r="B144" s="100" t="s">
        <v>196</v>
      </c>
      <c r="C144" s="76" t="s">
        <v>118</v>
      </c>
      <c r="D144" s="84" t="s">
        <v>193</v>
      </c>
      <c r="E144" s="78">
        <v>46082</v>
      </c>
      <c r="F144" s="79">
        <v>299</v>
      </c>
      <c r="G144" s="80">
        <f t="shared" si="14"/>
        <v>1196</v>
      </c>
      <c r="H144" s="81">
        <v>4</v>
      </c>
      <c r="I144" s="91"/>
      <c r="J144" s="59"/>
      <c r="K144" s="59"/>
      <c r="L144" s="33">
        <v>0</v>
      </c>
      <c r="M144" s="34">
        <v>4</v>
      </c>
      <c r="N144" s="61"/>
      <c r="O144" s="104"/>
      <c r="P144" s="37">
        <f t="shared" si="18"/>
        <v>4</v>
      </c>
    </row>
    <row r="145" spans="1:16" ht="28.5">
      <c r="A145" s="22">
        <v>142</v>
      </c>
      <c r="B145" s="94" t="s">
        <v>197</v>
      </c>
      <c r="C145" s="76" t="s">
        <v>118</v>
      </c>
      <c r="D145" s="87"/>
      <c r="E145" s="78">
        <v>46054</v>
      </c>
      <c r="F145" s="89">
        <v>224</v>
      </c>
      <c r="G145" s="89">
        <f t="shared" si="14"/>
        <v>672</v>
      </c>
      <c r="H145" s="81">
        <v>3</v>
      </c>
      <c r="I145" s="91"/>
      <c r="J145" s="32"/>
      <c r="K145" s="32"/>
      <c r="L145" s="33">
        <f>3-1-2</f>
        <v>0</v>
      </c>
      <c r="M145" s="34">
        <v>1</v>
      </c>
      <c r="N145" s="35">
        <v>2</v>
      </c>
      <c r="O145" s="36"/>
      <c r="P145" s="37">
        <f t="shared" si="18"/>
        <v>3</v>
      </c>
    </row>
    <row r="146" spans="1:16" ht="14.25">
      <c r="A146" s="22">
        <v>143</v>
      </c>
      <c r="B146" s="94" t="s">
        <v>198</v>
      </c>
      <c r="C146" s="76" t="s">
        <v>118</v>
      </c>
      <c r="D146" s="87"/>
      <c r="E146" s="78">
        <v>45901</v>
      </c>
      <c r="F146" s="89">
        <v>224</v>
      </c>
      <c r="G146" s="89">
        <f t="shared" si="14"/>
        <v>896</v>
      </c>
      <c r="H146" s="81">
        <v>4</v>
      </c>
      <c r="I146" s="91"/>
      <c r="J146" s="32"/>
      <c r="K146" s="32"/>
      <c r="L146" s="33">
        <f>4</f>
        <v>4</v>
      </c>
      <c r="M146" s="34">
        <v>0</v>
      </c>
      <c r="N146" s="35">
        <v>0</v>
      </c>
      <c r="O146" s="36"/>
      <c r="P146" s="37">
        <f t="shared" si="18"/>
        <v>4</v>
      </c>
    </row>
    <row r="147" spans="1:16" ht="15">
      <c r="A147" s="22"/>
      <c r="B147" s="255" t="s">
        <v>199</v>
      </c>
      <c r="C147" s="256"/>
      <c r="D147" s="256"/>
      <c r="E147" s="256"/>
      <c r="F147" s="256"/>
      <c r="G147" s="256"/>
      <c r="H147" s="256"/>
      <c r="I147" s="65"/>
      <c r="J147" s="31"/>
      <c r="K147" s="32"/>
      <c r="L147" s="55"/>
      <c r="M147" s="42"/>
      <c r="N147" s="35"/>
      <c r="O147" s="36"/>
      <c r="P147" s="37">
        <f t="shared" si="18"/>
        <v>0</v>
      </c>
    </row>
    <row r="148" spans="1:16" ht="42.75" customHeight="1">
      <c r="A148" s="106">
        <v>1</v>
      </c>
      <c r="B148" s="107" t="s">
        <v>200</v>
      </c>
      <c r="C148" s="108" t="s">
        <v>23</v>
      </c>
      <c r="D148" s="109"/>
      <c r="E148" s="110">
        <v>46539</v>
      </c>
      <c r="F148" s="64">
        <v>87.763220000000004</v>
      </c>
      <c r="G148" s="28">
        <f t="shared" ref="G148:G163" si="19">F148*H148</f>
        <v>789.86898000000008</v>
      </c>
      <c r="H148" s="29">
        <v>9</v>
      </c>
      <c r="I148" s="65"/>
      <c r="J148" s="32"/>
      <c r="K148" s="31"/>
      <c r="L148" s="45"/>
      <c r="M148" s="34"/>
      <c r="N148" s="43">
        <v>9</v>
      </c>
      <c r="O148" s="36"/>
      <c r="P148" s="37"/>
    </row>
    <row r="149" spans="1:16" ht="102">
      <c r="A149" s="106">
        <v>2</v>
      </c>
      <c r="B149" s="111" t="s">
        <v>201</v>
      </c>
      <c r="C149" s="108" t="s">
        <v>23</v>
      </c>
      <c r="D149" s="109"/>
      <c r="E149" s="110">
        <v>46419</v>
      </c>
      <c r="F149" s="74">
        <v>47.498109999999997</v>
      </c>
      <c r="G149" s="28">
        <f t="shared" si="19"/>
        <v>807.46786999999995</v>
      </c>
      <c r="H149" s="29">
        <v>17</v>
      </c>
      <c r="I149" s="65"/>
      <c r="J149" s="32"/>
      <c r="K149" s="31"/>
      <c r="L149" s="45"/>
      <c r="M149" s="34"/>
      <c r="N149" s="43">
        <v>17</v>
      </c>
      <c r="O149" s="36"/>
      <c r="P149" s="37">
        <f t="shared" ref="P149:P153" si="20">L149+M149+N149</f>
        <v>17</v>
      </c>
    </row>
    <row r="150" spans="1:16" ht="38.25">
      <c r="A150" s="106">
        <v>3</v>
      </c>
      <c r="B150" s="107" t="s">
        <v>202</v>
      </c>
      <c r="C150" s="108" t="s">
        <v>203</v>
      </c>
      <c r="D150" s="109"/>
      <c r="E150" s="110">
        <v>46447</v>
      </c>
      <c r="F150" s="112">
        <v>63</v>
      </c>
      <c r="G150" s="28">
        <f t="shared" si="19"/>
        <v>78183</v>
      </c>
      <c r="H150" s="29">
        <v>1241</v>
      </c>
      <c r="I150" s="65"/>
      <c r="J150" s="31"/>
      <c r="K150" s="32"/>
      <c r="L150" s="45"/>
      <c r="M150" s="34">
        <v>1051</v>
      </c>
      <c r="N150" s="43">
        <v>190</v>
      </c>
      <c r="O150" s="36"/>
      <c r="P150" s="37">
        <f t="shared" si="20"/>
        <v>1241</v>
      </c>
    </row>
    <row r="151" spans="1:16" ht="89.25">
      <c r="A151" s="106">
        <v>4</v>
      </c>
      <c r="B151" s="107" t="s">
        <v>204</v>
      </c>
      <c r="C151" s="108" t="s">
        <v>203</v>
      </c>
      <c r="D151" s="109"/>
      <c r="E151" s="110">
        <v>46204</v>
      </c>
      <c r="F151" s="113">
        <v>311.82</v>
      </c>
      <c r="G151" s="28">
        <f t="shared" si="19"/>
        <v>35547.479999999996</v>
      </c>
      <c r="H151" s="29">
        <v>114</v>
      </c>
      <c r="I151" s="65"/>
      <c r="J151" s="114"/>
      <c r="K151" s="32"/>
      <c r="L151" s="45"/>
      <c r="M151" s="34"/>
      <c r="N151" s="43">
        <v>114</v>
      </c>
      <c r="O151" s="36"/>
      <c r="P151" s="37">
        <f t="shared" si="20"/>
        <v>114</v>
      </c>
    </row>
    <row r="152" spans="1:16" ht="38.25" hidden="1">
      <c r="A152" s="106">
        <v>9</v>
      </c>
      <c r="B152" s="107" t="s">
        <v>205</v>
      </c>
      <c r="C152" s="108" t="s">
        <v>203</v>
      </c>
      <c r="D152" s="109"/>
      <c r="E152" s="110">
        <v>46082</v>
      </c>
      <c r="F152" s="113">
        <v>102.39241</v>
      </c>
      <c r="G152" s="28">
        <f t="shared" si="19"/>
        <v>0</v>
      </c>
      <c r="H152" s="29">
        <v>0</v>
      </c>
      <c r="I152" s="65"/>
      <c r="J152" s="31"/>
      <c r="K152" s="32"/>
      <c r="L152" s="45"/>
      <c r="M152" s="34"/>
      <c r="N152" s="43">
        <v>0</v>
      </c>
      <c r="O152" s="36"/>
      <c r="P152" s="37">
        <f t="shared" si="20"/>
        <v>0</v>
      </c>
    </row>
    <row r="153" spans="1:16" ht="89.25">
      <c r="A153" s="106">
        <v>5</v>
      </c>
      <c r="B153" s="107" t="s">
        <v>206</v>
      </c>
      <c r="C153" s="108" t="s">
        <v>203</v>
      </c>
      <c r="D153" s="109"/>
      <c r="E153" s="110">
        <v>46296</v>
      </c>
      <c r="F153" s="113">
        <v>165.97004999999999</v>
      </c>
      <c r="G153" s="28">
        <f t="shared" si="19"/>
        <v>5974.9217999999992</v>
      </c>
      <c r="H153" s="29">
        <v>36</v>
      </c>
      <c r="I153" s="65"/>
      <c r="J153" s="31"/>
      <c r="K153" s="32"/>
      <c r="L153" s="45"/>
      <c r="M153" s="34"/>
      <c r="N153" s="43">
        <v>36</v>
      </c>
      <c r="O153" s="36"/>
      <c r="P153" s="37">
        <f t="shared" si="20"/>
        <v>36</v>
      </c>
    </row>
    <row r="154" spans="1:16" ht="63.75">
      <c r="A154" s="106">
        <v>6</v>
      </c>
      <c r="B154" s="107" t="s">
        <v>207</v>
      </c>
      <c r="C154" s="108" t="s">
        <v>23</v>
      </c>
      <c r="D154" s="109"/>
      <c r="E154" s="110">
        <v>46722</v>
      </c>
      <c r="F154" s="113">
        <v>22.809000000000001</v>
      </c>
      <c r="G154" s="28">
        <f t="shared" si="19"/>
        <v>2349.3270000000002</v>
      </c>
      <c r="H154" s="29">
        <v>103</v>
      </c>
      <c r="I154" s="65"/>
      <c r="J154" s="31"/>
      <c r="K154" s="32"/>
      <c r="L154" s="45"/>
      <c r="M154" s="34"/>
      <c r="N154" s="43">
        <v>103</v>
      </c>
      <c r="O154" s="36"/>
      <c r="P154" s="37"/>
    </row>
    <row r="155" spans="1:16" ht="66.75" customHeight="1">
      <c r="A155" s="106">
        <v>7</v>
      </c>
      <c r="B155" s="115" t="s">
        <v>208</v>
      </c>
      <c r="C155" s="108" t="s">
        <v>203</v>
      </c>
      <c r="D155" s="109"/>
      <c r="E155" s="110">
        <v>46174</v>
      </c>
      <c r="F155" s="113">
        <v>165.97</v>
      </c>
      <c r="G155" s="28">
        <f t="shared" si="19"/>
        <v>13277.6</v>
      </c>
      <c r="H155" s="29">
        <v>80</v>
      </c>
      <c r="I155" s="65"/>
      <c r="J155" s="31"/>
      <c r="K155" s="32"/>
      <c r="L155" s="45"/>
      <c r="M155" s="34"/>
      <c r="N155" s="43">
        <v>80</v>
      </c>
      <c r="O155" s="36"/>
      <c r="P155" s="37"/>
    </row>
    <row r="156" spans="1:16" ht="45.75" customHeight="1">
      <c r="A156" s="106">
        <v>8</v>
      </c>
      <c r="B156" s="115" t="s">
        <v>209</v>
      </c>
      <c r="C156" s="108" t="s">
        <v>23</v>
      </c>
      <c r="D156" s="109"/>
      <c r="E156" s="110">
        <v>46235</v>
      </c>
      <c r="F156" s="113">
        <v>83.28913</v>
      </c>
      <c r="G156" s="28">
        <f t="shared" si="19"/>
        <v>1332.62608</v>
      </c>
      <c r="H156" s="29">
        <v>16</v>
      </c>
      <c r="I156" s="65"/>
      <c r="J156" s="31"/>
      <c r="K156" s="32"/>
      <c r="L156" s="45"/>
      <c r="M156" s="34"/>
      <c r="N156" s="43">
        <v>16</v>
      </c>
      <c r="O156" s="36"/>
      <c r="P156" s="37"/>
    </row>
    <row r="157" spans="1:16" ht="48.75" customHeight="1">
      <c r="A157" s="106">
        <v>9</v>
      </c>
      <c r="B157" s="107" t="s">
        <v>210</v>
      </c>
      <c r="C157" s="108" t="s">
        <v>211</v>
      </c>
      <c r="D157" s="109"/>
      <c r="E157" s="110">
        <v>46419</v>
      </c>
      <c r="F157" s="113">
        <v>151.69268</v>
      </c>
      <c r="G157" s="28">
        <f t="shared" si="19"/>
        <v>151.69268</v>
      </c>
      <c r="H157" s="29">
        <v>1</v>
      </c>
      <c r="I157" s="65">
        <v>0</v>
      </c>
      <c r="J157" s="31"/>
      <c r="K157" s="32"/>
      <c r="L157" s="45"/>
      <c r="M157" s="34"/>
      <c r="N157" s="43">
        <v>1</v>
      </c>
      <c r="O157" s="36"/>
      <c r="P157" s="37"/>
    </row>
    <row r="158" spans="1:16" ht="49.5" customHeight="1">
      <c r="A158" s="106">
        <v>10</v>
      </c>
      <c r="B158" s="107" t="s">
        <v>212</v>
      </c>
      <c r="C158" s="108" t="s">
        <v>211</v>
      </c>
      <c r="D158" s="109"/>
      <c r="E158" s="116">
        <v>46419</v>
      </c>
      <c r="F158" s="113">
        <v>104.197</v>
      </c>
      <c r="G158" s="28">
        <f t="shared" si="19"/>
        <v>1146.1669999999999</v>
      </c>
      <c r="H158" s="29">
        <v>11</v>
      </c>
      <c r="I158" s="65"/>
      <c r="J158" s="31"/>
      <c r="K158" s="32"/>
      <c r="L158" s="55"/>
      <c r="M158" s="34"/>
      <c r="N158" s="43">
        <v>11</v>
      </c>
      <c r="O158" s="36"/>
      <c r="P158" s="37"/>
    </row>
    <row r="159" spans="1:16" ht="63.75" customHeight="1">
      <c r="A159" s="106">
        <v>11</v>
      </c>
      <c r="B159" s="107" t="s">
        <v>213</v>
      </c>
      <c r="C159" s="108" t="s">
        <v>211</v>
      </c>
      <c r="D159" s="109"/>
      <c r="E159" s="116">
        <v>46419</v>
      </c>
      <c r="F159" s="113">
        <v>53.739330000000002</v>
      </c>
      <c r="G159" s="28">
        <f t="shared" si="19"/>
        <v>1074.7866000000001</v>
      </c>
      <c r="H159" s="29">
        <v>20</v>
      </c>
      <c r="I159" s="65"/>
      <c r="J159" s="31"/>
      <c r="K159" s="32"/>
      <c r="L159" s="55"/>
      <c r="M159" s="34"/>
      <c r="N159" s="43">
        <v>20</v>
      </c>
      <c r="O159" s="36"/>
      <c r="P159" s="37"/>
    </row>
    <row r="160" spans="1:16" ht="38.25">
      <c r="A160" s="106">
        <v>12</v>
      </c>
      <c r="B160" s="117" t="s">
        <v>214</v>
      </c>
      <c r="C160" s="118" t="s">
        <v>203</v>
      </c>
      <c r="D160" s="119"/>
      <c r="E160" s="120">
        <v>45962</v>
      </c>
      <c r="F160" s="121">
        <v>278.76278000000002</v>
      </c>
      <c r="G160" s="28">
        <f t="shared" si="19"/>
        <v>6690.3067200000005</v>
      </c>
      <c r="H160" s="29">
        <v>24</v>
      </c>
      <c r="I160" s="65"/>
      <c r="J160" s="31"/>
      <c r="K160" s="32"/>
      <c r="L160" s="55"/>
      <c r="M160" s="34">
        <v>24</v>
      </c>
      <c r="N160" s="43"/>
      <c r="O160" s="36"/>
      <c r="P160" s="37"/>
    </row>
    <row r="161" spans="1:18" ht="39.75" customHeight="1">
      <c r="A161" s="106">
        <v>13</v>
      </c>
      <c r="B161" s="122" t="s">
        <v>215</v>
      </c>
      <c r="C161" s="118" t="s">
        <v>203</v>
      </c>
      <c r="D161" s="119"/>
      <c r="E161" s="123">
        <v>46054</v>
      </c>
      <c r="F161" s="121">
        <v>279.78750000000002</v>
      </c>
      <c r="G161" s="28">
        <f t="shared" si="19"/>
        <v>1678.7250000000001</v>
      </c>
      <c r="H161" s="29">
        <v>6</v>
      </c>
      <c r="I161" s="65"/>
      <c r="J161" s="31"/>
      <c r="K161" s="32"/>
      <c r="L161" s="55"/>
      <c r="M161" s="34"/>
      <c r="N161" s="43">
        <v>6</v>
      </c>
      <c r="O161" s="36"/>
      <c r="P161" s="37"/>
    </row>
    <row r="162" spans="1:18" ht="42" customHeight="1">
      <c r="A162" s="106">
        <v>14</v>
      </c>
      <c r="B162" s="122" t="s">
        <v>216</v>
      </c>
      <c r="C162" s="118" t="s">
        <v>203</v>
      </c>
      <c r="D162" s="119"/>
      <c r="E162" s="123">
        <v>46204</v>
      </c>
      <c r="F162" s="121">
        <v>279.78733</v>
      </c>
      <c r="G162" s="28">
        <f t="shared" si="19"/>
        <v>2797.8733000000002</v>
      </c>
      <c r="H162" s="29">
        <v>10</v>
      </c>
      <c r="I162" s="65"/>
      <c r="J162" s="31"/>
      <c r="K162" s="32"/>
      <c r="L162" s="55"/>
      <c r="M162" s="34"/>
      <c r="N162" s="43">
        <v>10</v>
      </c>
      <c r="O162" s="36"/>
      <c r="P162" s="37"/>
    </row>
    <row r="163" spans="1:18" ht="42" customHeight="1">
      <c r="A163" s="106">
        <v>15</v>
      </c>
      <c r="B163" s="122" t="s">
        <v>217</v>
      </c>
      <c r="C163" s="118" t="s">
        <v>23</v>
      </c>
      <c r="D163" s="119"/>
      <c r="E163" s="123">
        <v>46388</v>
      </c>
      <c r="F163" s="121">
        <v>19.100000000000001</v>
      </c>
      <c r="G163" s="28">
        <f t="shared" si="19"/>
        <v>19.100000000000001</v>
      </c>
      <c r="H163" s="29">
        <v>1</v>
      </c>
      <c r="I163" s="65"/>
      <c r="J163" s="31"/>
      <c r="K163" s="32"/>
      <c r="L163" s="55"/>
      <c r="M163" s="34"/>
      <c r="N163" s="43">
        <v>1</v>
      </c>
      <c r="O163" s="36"/>
      <c r="P163" s="37"/>
    </row>
    <row r="164" spans="1:18" ht="30" customHeight="1">
      <c r="A164" s="106">
        <v>16</v>
      </c>
      <c r="B164" s="122" t="s">
        <v>218</v>
      </c>
      <c r="C164" s="118" t="s">
        <v>118</v>
      </c>
      <c r="D164" s="119"/>
      <c r="E164" s="124"/>
      <c r="F164" s="125"/>
      <c r="G164" s="28">
        <f t="shared" ref="G164:G166" si="21">H164*F164</f>
        <v>0</v>
      </c>
      <c r="H164" s="29">
        <v>100</v>
      </c>
      <c r="I164" s="65"/>
      <c r="J164" s="31"/>
      <c r="K164" s="32"/>
      <c r="L164" s="55"/>
      <c r="M164" s="34"/>
      <c r="N164" s="43">
        <v>100</v>
      </c>
      <c r="O164" s="36"/>
      <c r="P164" s="37">
        <f t="shared" ref="P164:P165" si="22">L164+M164+N164</f>
        <v>100</v>
      </c>
    </row>
    <row r="165" spans="1:18" ht="38.25">
      <c r="A165" s="106">
        <v>17</v>
      </c>
      <c r="B165" s="126" t="s">
        <v>219</v>
      </c>
      <c r="C165" s="118" t="s">
        <v>118</v>
      </c>
      <c r="D165" s="119"/>
      <c r="E165" s="123">
        <v>46204</v>
      </c>
      <c r="F165" s="127">
        <v>0</v>
      </c>
      <c r="G165" s="28">
        <f t="shared" si="21"/>
        <v>0</v>
      </c>
      <c r="H165" s="29">
        <v>180</v>
      </c>
      <c r="I165" s="65"/>
      <c r="J165" s="32"/>
      <c r="K165" s="32"/>
      <c r="L165" s="45">
        <v>0</v>
      </c>
      <c r="M165" s="34"/>
      <c r="N165" s="43">
        <v>180</v>
      </c>
      <c r="O165" s="36"/>
      <c r="P165" s="37">
        <f t="shared" si="22"/>
        <v>180</v>
      </c>
    </row>
    <row r="166" spans="1:18" ht="38.25">
      <c r="A166" s="106">
        <v>18</v>
      </c>
      <c r="B166" s="122" t="s">
        <v>220</v>
      </c>
      <c r="C166" s="118" t="s">
        <v>118</v>
      </c>
      <c r="D166" s="128"/>
      <c r="E166" s="123">
        <v>46661</v>
      </c>
      <c r="F166" s="121">
        <v>1.5</v>
      </c>
      <c r="G166" s="28">
        <f t="shared" si="21"/>
        <v>15</v>
      </c>
      <c r="H166" s="29">
        <v>10</v>
      </c>
      <c r="I166" s="65"/>
      <c r="J166" s="32"/>
      <c r="K166" s="32"/>
      <c r="L166" s="45"/>
      <c r="M166" s="34"/>
      <c r="N166" s="43">
        <v>10</v>
      </c>
      <c r="O166" s="36"/>
      <c r="P166" s="37"/>
    </row>
    <row r="167" spans="1:18" ht="38.25">
      <c r="A167" s="106">
        <v>19</v>
      </c>
      <c r="B167" s="122" t="s">
        <v>221</v>
      </c>
      <c r="C167" s="118" t="s">
        <v>118</v>
      </c>
      <c r="D167" s="128"/>
      <c r="E167" s="123">
        <v>46204</v>
      </c>
      <c r="F167" s="121">
        <v>0</v>
      </c>
      <c r="G167" s="46">
        <f t="shared" ref="G167:G171" si="23">F167*H167</f>
        <v>0</v>
      </c>
      <c r="H167" s="29">
        <v>189</v>
      </c>
      <c r="I167" s="65"/>
      <c r="J167" s="32"/>
      <c r="K167" s="32"/>
      <c r="L167" s="45"/>
      <c r="M167" s="34">
        <v>189</v>
      </c>
      <c r="N167" s="43"/>
      <c r="O167" s="36"/>
      <c r="P167" s="37">
        <f t="shared" ref="P167:P170" si="24">L167+M167+N167</f>
        <v>189</v>
      </c>
    </row>
    <row r="168" spans="1:18" ht="38.25">
      <c r="A168" s="106">
        <v>20</v>
      </c>
      <c r="B168" s="122" t="s">
        <v>222</v>
      </c>
      <c r="C168" s="118" t="s">
        <v>118</v>
      </c>
      <c r="D168" s="119"/>
      <c r="E168" s="129">
        <v>46296</v>
      </c>
      <c r="F168" s="130">
        <v>1.31</v>
      </c>
      <c r="G168" s="46">
        <f t="shared" si="23"/>
        <v>4595.4800000000005</v>
      </c>
      <c r="H168" s="29">
        <v>3508</v>
      </c>
      <c r="I168" s="65"/>
      <c r="J168" s="32"/>
      <c r="K168" s="32"/>
      <c r="L168" s="45">
        <v>0</v>
      </c>
      <c r="M168" s="34">
        <v>1405</v>
      </c>
      <c r="N168" s="35">
        <v>2103</v>
      </c>
      <c r="O168" s="36"/>
      <c r="P168" s="37">
        <f t="shared" si="24"/>
        <v>3508</v>
      </c>
    </row>
    <row r="169" spans="1:18" ht="51">
      <c r="A169" s="106">
        <v>21</v>
      </c>
      <c r="B169" s="122" t="s">
        <v>223</v>
      </c>
      <c r="C169" s="118" t="s">
        <v>118</v>
      </c>
      <c r="D169" s="119"/>
      <c r="E169" s="129">
        <v>46296</v>
      </c>
      <c r="F169" s="130">
        <v>3.54</v>
      </c>
      <c r="G169" s="46">
        <f t="shared" si="23"/>
        <v>3653.28</v>
      </c>
      <c r="H169" s="29">
        <v>1032</v>
      </c>
      <c r="I169" s="65"/>
      <c r="J169" s="32"/>
      <c r="K169" s="32"/>
      <c r="L169" s="45"/>
      <c r="M169" s="34">
        <v>1032</v>
      </c>
      <c r="N169" s="35">
        <v>0</v>
      </c>
      <c r="O169" s="36"/>
      <c r="P169" s="37">
        <f t="shared" si="24"/>
        <v>1032</v>
      </c>
    </row>
    <row r="170" spans="1:18" ht="38.25">
      <c r="A170" s="106">
        <v>22</v>
      </c>
      <c r="B170" s="122" t="s">
        <v>224</v>
      </c>
      <c r="C170" s="118" t="s">
        <v>118</v>
      </c>
      <c r="D170" s="119"/>
      <c r="E170" s="129">
        <v>46508</v>
      </c>
      <c r="F170" s="130">
        <v>1.46</v>
      </c>
      <c r="G170" s="46">
        <f t="shared" si="23"/>
        <v>140.16</v>
      </c>
      <c r="H170" s="29">
        <v>96</v>
      </c>
      <c r="I170" s="65"/>
      <c r="J170" s="32"/>
      <c r="K170" s="32"/>
      <c r="L170" s="45">
        <v>0</v>
      </c>
      <c r="M170" s="34"/>
      <c r="N170" s="35">
        <v>96</v>
      </c>
      <c r="O170" s="36"/>
      <c r="P170" s="37">
        <f t="shared" si="24"/>
        <v>96</v>
      </c>
    </row>
    <row r="171" spans="1:18" ht="51">
      <c r="A171" s="106">
        <v>23</v>
      </c>
      <c r="B171" s="107" t="s">
        <v>225</v>
      </c>
      <c r="C171" s="108" t="s">
        <v>118</v>
      </c>
      <c r="D171" s="109"/>
      <c r="E171" s="131"/>
      <c r="F171" s="74">
        <v>33.58</v>
      </c>
      <c r="G171" s="46">
        <f t="shared" si="23"/>
        <v>33.58</v>
      </c>
      <c r="H171" s="64">
        <v>1</v>
      </c>
      <c r="I171" s="65"/>
      <c r="J171" s="32"/>
      <c r="K171" s="32"/>
      <c r="L171" s="45"/>
      <c r="M171" s="34">
        <v>1</v>
      </c>
      <c r="N171" s="35"/>
      <c r="O171" s="36"/>
      <c r="P171" s="37"/>
    </row>
    <row r="172" spans="1:18" ht="25.5">
      <c r="A172" s="106">
        <v>24</v>
      </c>
      <c r="B172" s="107" t="s">
        <v>226</v>
      </c>
      <c r="C172" s="108" t="s">
        <v>118</v>
      </c>
      <c r="D172" s="109"/>
      <c r="E172" s="131"/>
      <c r="F172" s="74">
        <v>948</v>
      </c>
      <c r="G172" s="28">
        <f t="shared" ref="G172:G173" si="25">H172*F172</f>
        <v>3792</v>
      </c>
      <c r="H172" s="64">
        <v>4</v>
      </c>
      <c r="I172" s="65"/>
      <c r="J172" s="32"/>
      <c r="K172" s="32"/>
      <c r="L172" s="45">
        <v>4</v>
      </c>
      <c r="M172" s="34">
        <v>0</v>
      </c>
      <c r="N172" s="35"/>
      <c r="O172" s="36"/>
      <c r="P172" s="37">
        <f t="shared" ref="P172:P174" si="26">L172+M172+N172</f>
        <v>4</v>
      </c>
    </row>
    <row r="173" spans="1:18" ht="20.25" customHeight="1">
      <c r="A173" s="106">
        <v>25</v>
      </c>
      <c r="B173" s="132" t="s">
        <v>227</v>
      </c>
      <c r="C173" s="108" t="s">
        <v>23</v>
      </c>
      <c r="D173" s="133"/>
      <c r="E173" s="116">
        <v>46419</v>
      </c>
      <c r="F173" s="64">
        <v>25.79</v>
      </c>
      <c r="G173" s="134">
        <f t="shared" si="25"/>
        <v>902.65</v>
      </c>
      <c r="H173" s="64">
        <v>35</v>
      </c>
      <c r="I173" s="65"/>
      <c r="J173" s="59"/>
      <c r="K173" s="57"/>
      <c r="L173" s="33">
        <f>40-2-8-6-5</f>
        <v>19</v>
      </c>
      <c r="M173" s="42">
        <v>4</v>
      </c>
      <c r="N173" s="35">
        <v>12</v>
      </c>
      <c r="O173" s="36"/>
      <c r="P173" s="37">
        <f t="shared" si="26"/>
        <v>35</v>
      </c>
    </row>
    <row r="174" spans="1:18" ht="28.5">
      <c r="A174" s="106">
        <v>26</v>
      </c>
      <c r="B174" s="135" t="s">
        <v>228</v>
      </c>
      <c r="C174" s="136" t="s">
        <v>118</v>
      </c>
      <c r="D174" s="136"/>
      <c r="E174" s="137">
        <v>46054</v>
      </c>
      <c r="F174" s="138">
        <v>41.60051</v>
      </c>
      <c r="G174" s="139">
        <f t="shared" ref="G174:G179" si="27">F174*H174</f>
        <v>0</v>
      </c>
      <c r="H174" s="140">
        <v>0</v>
      </c>
      <c r="I174" s="47"/>
      <c r="J174" s="31"/>
      <c r="K174" s="31"/>
      <c r="L174" s="45"/>
      <c r="M174" s="42">
        <v>0</v>
      </c>
      <c r="N174" s="43">
        <v>0</v>
      </c>
      <c r="O174" s="36"/>
      <c r="P174" s="37">
        <f t="shared" si="26"/>
        <v>0</v>
      </c>
      <c r="Q174" s="31"/>
      <c r="R174" s="59"/>
    </row>
    <row r="175" spans="1:18" ht="57">
      <c r="A175" s="106">
        <v>27</v>
      </c>
      <c r="B175" s="135" t="s">
        <v>229</v>
      </c>
      <c r="C175" s="136" t="s">
        <v>230</v>
      </c>
      <c r="D175" s="136" t="s">
        <v>231</v>
      </c>
      <c r="E175" s="137">
        <v>46388</v>
      </c>
      <c r="F175" s="138">
        <v>774.66</v>
      </c>
      <c r="G175" s="139">
        <f t="shared" si="27"/>
        <v>1549.32</v>
      </c>
      <c r="H175" s="140">
        <v>2</v>
      </c>
      <c r="I175" s="47"/>
      <c r="J175" s="31"/>
      <c r="K175" s="31"/>
      <c r="L175" s="45">
        <v>2</v>
      </c>
      <c r="M175" s="141"/>
      <c r="N175" s="60"/>
      <c r="O175" s="36"/>
      <c r="P175" s="37"/>
      <c r="Q175" s="31"/>
      <c r="R175" s="59"/>
    </row>
    <row r="176" spans="1:18" ht="57">
      <c r="A176" s="106">
        <v>28</v>
      </c>
      <c r="B176" s="135" t="s">
        <v>232</v>
      </c>
      <c r="C176" s="136" t="s">
        <v>230</v>
      </c>
      <c r="D176" s="136" t="s">
        <v>231</v>
      </c>
      <c r="E176" s="137">
        <v>46447</v>
      </c>
      <c r="F176" s="138">
        <v>774.66166699999997</v>
      </c>
      <c r="G176" s="139">
        <f t="shared" si="27"/>
        <v>4647.970002</v>
      </c>
      <c r="H176" s="140">
        <v>6</v>
      </c>
      <c r="I176" s="47"/>
      <c r="J176" s="31"/>
      <c r="K176" s="31"/>
      <c r="L176" s="45">
        <v>6</v>
      </c>
      <c r="M176" s="141"/>
      <c r="N176" s="60"/>
      <c r="O176" s="36"/>
      <c r="P176" s="37"/>
      <c r="Q176" s="31"/>
      <c r="R176" s="59"/>
    </row>
    <row r="177" spans="1:18" ht="42.75">
      <c r="A177" s="106">
        <v>29</v>
      </c>
      <c r="B177" s="135" t="s">
        <v>233</v>
      </c>
      <c r="C177" s="136" t="s">
        <v>230</v>
      </c>
      <c r="D177" s="136" t="s">
        <v>61</v>
      </c>
      <c r="E177" s="137">
        <v>46174</v>
      </c>
      <c r="F177" s="138">
        <v>216.33799999999999</v>
      </c>
      <c r="G177" s="139">
        <f t="shared" si="27"/>
        <v>1081.69</v>
      </c>
      <c r="H177" s="140">
        <v>5</v>
      </c>
      <c r="I177" s="47"/>
      <c r="J177" s="31"/>
      <c r="K177" s="31"/>
      <c r="L177" s="45">
        <v>5</v>
      </c>
      <c r="M177" s="141"/>
      <c r="N177" s="60"/>
      <c r="O177" s="36"/>
      <c r="P177" s="37"/>
      <c r="Q177" s="31"/>
      <c r="R177" s="59"/>
    </row>
    <row r="178" spans="1:18" ht="77.25" customHeight="1">
      <c r="A178" s="106">
        <v>30</v>
      </c>
      <c r="B178" s="135" t="s">
        <v>234</v>
      </c>
      <c r="C178" s="136" t="s">
        <v>230</v>
      </c>
      <c r="D178" s="136" t="s">
        <v>231</v>
      </c>
      <c r="E178" s="142">
        <v>46327</v>
      </c>
      <c r="F178" s="138">
        <v>850.47</v>
      </c>
      <c r="G178" s="139">
        <f t="shared" si="27"/>
        <v>850.47</v>
      </c>
      <c r="H178" s="140">
        <v>1</v>
      </c>
      <c r="I178" s="47"/>
      <c r="J178" s="31"/>
      <c r="K178" s="31"/>
      <c r="L178" s="45">
        <v>1</v>
      </c>
      <c r="M178" s="141"/>
      <c r="N178" s="60"/>
      <c r="O178" s="36"/>
      <c r="P178" s="37"/>
      <c r="Q178" s="31"/>
      <c r="R178" s="59"/>
    </row>
    <row r="179" spans="1:18" ht="42.75">
      <c r="A179" s="106">
        <v>31</v>
      </c>
      <c r="B179" s="135" t="s">
        <v>235</v>
      </c>
      <c r="C179" s="136" t="s">
        <v>230</v>
      </c>
      <c r="D179" s="136" t="s">
        <v>231</v>
      </c>
      <c r="E179" s="142">
        <v>46357</v>
      </c>
      <c r="F179" s="138">
        <v>1244.55</v>
      </c>
      <c r="G179" s="139">
        <f t="shared" si="27"/>
        <v>1244.55</v>
      </c>
      <c r="H179" s="140">
        <v>1</v>
      </c>
      <c r="I179" s="65">
        <v>25</v>
      </c>
      <c r="J179" s="31"/>
      <c r="K179" s="31"/>
      <c r="L179" s="45">
        <v>25</v>
      </c>
      <c r="M179" s="141"/>
      <c r="N179" s="60"/>
      <c r="O179" s="36"/>
      <c r="P179" s="37"/>
      <c r="Q179" s="31"/>
      <c r="R179" s="59"/>
    </row>
    <row r="180" spans="1:18" ht="14.25">
      <c r="A180" s="106">
        <v>32</v>
      </c>
      <c r="B180" s="143" t="s">
        <v>236</v>
      </c>
      <c r="C180" s="136" t="s">
        <v>118</v>
      </c>
      <c r="D180" s="136"/>
      <c r="E180" s="136"/>
      <c r="F180" s="138">
        <v>65</v>
      </c>
      <c r="G180" s="144">
        <f t="shared" ref="G180:G181" si="28">H180*F180</f>
        <v>1300</v>
      </c>
      <c r="H180" s="140">
        <v>20</v>
      </c>
      <c r="I180" s="47"/>
      <c r="J180" s="31"/>
      <c r="K180" s="31"/>
      <c r="L180" s="45">
        <v>20</v>
      </c>
      <c r="M180" s="141"/>
      <c r="N180" s="60"/>
      <c r="O180" s="36"/>
      <c r="P180" s="37">
        <f t="shared" ref="P180:P182" si="29">L180+M180+N180</f>
        <v>20</v>
      </c>
      <c r="Q180" s="31"/>
      <c r="R180" s="59"/>
    </row>
    <row r="181" spans="1:18" ht="18.75" customHeight="1">
      <c r="A181" s="106">
        <v>33</v>
      </c>
      <c r="B181" s="143" t="s">
        <v>237</v>
      </c>
      <c r="C181" s="136" t="s">
        <v>118</v>
      </c>
      <c r="D181" s="136"/>
      <c r="E181" s="136"/>
      <c r="F181" s="138">
        <v>150</v>
      </c>
      <c r="G181" s="144">
        <f t="shared" si="28"/>
        <v>1500</v>
      </c>
      <c r="H181" s="140">
        <v>10</v>
      </c>
      <c r="I181" s="47"/>
      <c r="J181" s="31"/>
      <c r="K181" s="31"/>
      <c r="L181" s="45">
        <v>10</v>
      </c>
      <c r="M181" s="141"/>
      <c r="N181" s="60"/>
      <c r="O181" s="36"/>
      <c r="P181" s="37">
        <f t="shared" si="29"/>
        <v>10</v>
      </c>
      <c r="Q181" s="31"/>
      <c r="R181" s="59"/>
    </row>
    <row r="182" spans="1:18" ht="24" customHeight="1">
      <c r="A182" s="106"/>
      <c r="B182" s="257" t="s">
        <v>238</v>
      </c>
      <c r="C182" s="256"/>
      <c r="D182" s="256"/>
      <c r="E182" s="256"/>
      <c r="F182" s="256"/>
      <c r="G182" s="258"/>
      <c r="H182" s="145"/>
      <c r="I182" s="146"/>
      <c r="J182" s="32" t="s">
        <v>0</v>
      </c>
      <c r="K182" s="31"/>
      <c r="L182" s="55"/>
      <c r="M182" s="141"/>
      <c r="N182" s="60"/>
      <c r="O182" s="36"/>
      <c r="P182" s="37">
        <f t="shared" si="29"/>
        <v>0</v>
      </c>
      <c r="Q182" s="31"/>
      <c r="R182" s="59">
        <v>0</v>
      </c>
    </row>
    <row r="183" spans="1:18" ht="12.75">
      <c r="A183" s="147"/>
      <c r="B183" s="148" t="s">
        <v>354</v>
      </c>
      <c r="C183" s="149" t="s">
        <v>118</v>
      </c>
      <c r="D183" s="150"/>
      <c r="E183" s="151"/>
      <c r="F183" s="152">
        <v>255.99</v>
      </c>
      <c r="G183" s="246">
        <f t="shared" ref="G183:G185" si="30">F183*H183</f>
        <v>12799.5</v>
      </c>
      <c r="H183" s="154">
        <v>50</v>
      </c>
      <c r="I183" s="155"/>
      <c r="J183" s="156"/>
      <c r="K183" s="155"/>
      <c r="L183" s="157">
        <v>50</v>
      </c>
      <c r="M183" s="34"/>
      <c r="N183" s="35"/>
      <c r="O183" s="36"/>
      <c r="P183" s="37"/>
    </row>
    <row r="184" spans="1:18" ht="12.75">
      <c r="A184" s="147"/>
      <c r="B184" s="148" t="s">
        <v>239</v>
      </c>
      <c r="C184" s="149" t="s">
        <v>23</v>
      </c>
      <c r="D184" s="150"/>
      <c r="E184" s="151"/>
      <c r="F184" s="152">
        <v>60</v>
      </c>
      <c r="G184" s="153">
        <f t="shared" si="30"/>
        <v>9060</v>
      </c>
      <c r="H184" s="154">
        <v>151</v>
      </c>
      <c r="I184" s="155"/>
      <c r="J184" s="156"/>
      <c r="K184" s="155"/>
      <c r="L184" s="157"/>
      <c r="M184" s="34">
        <v>151</v>
      </c>
      <c r="N184" s="35"/>
      <c r="O184" s="36"/>
      <c r="P184" s="37"/>
    </row>
    <row r="185" spans="1:18" ht="12.75">
      <c r="A185" s="147"/>
      <c r="B185" s="148" t="s">
        <v>240</v>
      </c>
      <c r="C185" s="149" t="s">
        <v>20</v>
      </c>
      <c r="D185" s="158" t="s">
        <v>241</v>
      </c>
      <c r="E185" s="151"/>
      <c r="F185" s="152">
        <v>28</v>
      </c>
      <c r="G185" s="153">
        <f t="shared" si="30"/>
        <v>14000</v>
      </c>
      <c r="H185" s="154">
        <v>500</v>
      </c>
      <c r="I185" s="159">
        <v>15000</v>
      </c>
      <c r="J185" s="156"/>
      <c r="K185" s="155"/>
      <c r="L185" s="157"/>
      <c r="M185" s="34">
        <v>15000</v>
      </c>
      <c r="N185" s="35"/>
      <c r="O185" s="36"/>
      <c r="P185" s="37"/>
    </row>
    <row r="186" spans="1:18" ht="30">
      <c r="A186" s="147">
        <v>1</v>
      </c>
      <c r="B186" s="160" t="s">
        <v>242</v>
      </c>
      <c r="C186" s="149" t="s">
        <v>118</v>
      </c>
      <c r="D186" s="150"/>
      <c r="E186" s="151">
        <v>46082</v>
      </c>
      <c r="F186" s="161">
        <v>36.28</v>
      </c>
      <c r="G186" s="153">
        <f t="shared" ref="G186:G275" si="31">H186*F186</f>
        <v>725.6</v>
      </c>
      <c r="H186" s="162">
        <v>20</v>
      </c>
      <c r="I186" s="155"/>
      <c r="J186" s="156"/>
      <c r="K186" s="155"/>
      <c r="L186" s="157">
        <v>0</v>
      </c>
      <c r="M186" s="34"/>
      <c r="N186" s="35">
        <v>20</v>
      </c>
      <c r="O186" s="36"/>
      <c r="P186" s="37">
        <f t="shared" ref="P186:P187" si="32">L186+M186+N186</f>
        <v>20</v>
      </c>
    </row>
    <row r="187" spans="1:18" ht="14.25">
      <c r="A187" s="147">
        <v>2</v>
      </c>
      <c r="B187" s="163" t="s">
        <v>243</v>
      </c>
      <c r="C187" s="164" t="s">
        <v>20</v>
      </c>
      <c r="D187" s="165" t="s">
        <v>244</v>
      </c>
      <c r="E187" s="166">
        <v>46419</v>
      </c>
      <c r="F187" s="139">
        <v>63.4</v>
      </c>
      <c r="G187" s="153">
        <f t="shared" si="31"/>
        <v>380.4</v>
      </c>
      <c r="H187" s="167">
        <v>6</v>
      </c>
      <c r="I187" s="168">
        <v>96</v>
      </c>
      <c r="J187" s="169"/>
      <c r="K187" s="31"/>
      <c r="L187" s="33">
        <f>120-120</f>
        <v>0</v>
      </c>
      <c r="M187" s="34">
        <v>96</v>
      </c>
      <c r="N187" s="35">
        <v>0</v>
      </c>
      <c r="O187" s="36"/>
      <c r="P187" s="37">
        <f t="shared" si="32"/>
        <v>96</v>
      </c>
    </row>
    <row r="188" spans="1:18" ht="14.25">
      <c r="A188" s="147">
        <v>3</v>
      </c>
      <c r="B188" s="163" t="s">
        <v>245</v>
      </c>
      <c r="C188" s="164" t="s">
        <v>20</v>
      </c>
      <c r="D188" s="165" t="s">
        <v>246</v>
      </c>
      <c r="E188" s="166"/>
      <c r="F188" s="139">
        <v>393.94</v>
      </c>
      <c r="G188" s="153">
        <f t="shared" si="31"/>
        <v>1181.82</v>
      </c>
      <c r="H188" s="167">
        <v>3</v>
      </c>
      <c r="I188" s="168">
        <v>130</v>
      </c>
      <c r="J188" s="169"/>
      <c r="K188" s="31"/>
      <c r="L188" s="33">
        <v>0</v>
      </c>
      <c r="M188" s="34"/>
      <c r="N188" s="35">
        <v>130</v>
      </c>
      <c r="O188" s="36"/>
      <c r="P188" s="37"/>
    </row>
    <row r="189" spans="1:18" ht="14.25">
      <c r="A189" s="147">
        <v>4</v>
      </c>
      <c r="B189" s="163" t="s">
        <v>247</v>
      </c>
      <c r="C189" s="164" t="s">
        <v>20</v>
      </c>
      <c r="D189" s="165" t="s">
        <v>248</v>
      </c>
      <c r="E189" s="166"/>
      <c r="F189" s="139">
        <v>144.91999999999999</v>
      </c>
      <c r="G189" s="153">
        <f t="shared" si="31"/>
        <v>0</v>
      </c>
      <c r="H189" s="167">
        <v>0</v>
      </c>
      <c r="I189" s="168">
        <v>0</v>
      </c>
      <c r="J189" s="169"/>
      <c r="K189" s="31"/>
      <c r="L189" s="33">
        <f>200-200</f>
        <v>0</v>
      </c>
      <c r="M189" s="34"/>
      <c r="N189" s="35">
        <v>0</v>
      </c>
      <c r="O189" s="36"/>
      <c r="P189" s="37"/>
    </row>
    <row r="190" spans="1:18" ht="14.25">
      <c r="A190" s="147">
        <v>5</v>
      </c>
      <c r="B190" s="163" t="s">
        <v>249</v>
      </c>
      <c r="C190" s="164" t="s">
        <v>20</v>
      </c>
      <c r="D190" s="165" t="s">
        <v>248</v>
      </c>
      <c r="E190" s="166">
        <v>46388</v>
      </c>
      <c r="F190" s="139">
        <v>28.22</v>
      </c>
      <c r="G190" s="144">
        <f t="shared" si="31"/>
        <v>2680.9</v>
      </c>
      <c r="H190" s="167">
        <v>95</v>
      </c>
      <c r="I190" s="168">
        <v>9500</v>
      </c>
      <c r="J190" s="169"/>
      <c r="K190" s="31"/>
      <c r="L190" s="33">
        <f>10000-100*100</f>
        <v>0</v>
      </c>
      <c r="M190" s="34">
        <v>9500</v>
      </c>
      <c r="N190" s="35"/>
      <c r="O190" s="36"/>
      <c r="P190" s="37">
        <f t="shared" ref="P190:P196" si="33">L190+M190+N190</f>
        <v>9500</v>
      </c>
    </row>
    <row r="191" spans="1:18" ht="14.25" hidden="1">
      <c r="A191" s="147">
        <v>6</v>
      </c>
      <c r="B191" s="163" t="s">
        <v>250</v>
      </c>
      <c r="C191" s="164" t="s">
        <v>20</v>
      </c>
      <c r="D191" s="165" t="s">
        <v>251</v>
      </c>
      <c r="E191" s="166">
        <v>45931</v>
      </c>
      <c r="F191" s="139">
        <v>901.37</v>
      </c>
      <c r="G191" s="144">
        <f t="shared" si="31"/>
        <v>0</v>
      </c>
      <c r="H191" s="167">
        <v>0</v>
      </c>
      <c r="I191" s="168">
        <v>0</v>
      </c>
      <c r="J191" s="31"/>
      <c r="K191" s="31"/>
      <c r="L191" s="33">
        <v>0</v>
      </c>
      <c r="M191" s="34">
        <v>0</v>
      </c>
      <c r="N191" s="35"/>
      <c r="O191" s="36"/>
      <c r="P191" s="37">
        <f t="shared" si="33"/>
        <v>0</v>
      </c>
    </row>
    <row r="192" spans="1:18" ht="28.5">
      <c r="A192" s="147">
        <v>7</v>
      </c>
      <c r="B192" s="163" t="s">
        <v>252</v>
      </c>
      <c r="C192" s="164" t="s">
        <v>20</v>
      </c>
      <c r="D192" s="165" t="s">
        <v>37</v>
      </c>
      <c r="E192" s="166">
        <v>46631</v>
      </c>
      <c r="F192" s="139">
        <v>83.19</v>
      </c>
      <c r="G192" s="144">
        <f t="shared" si="31"/>
        <v>1913.37</v>
      </c>
      <c r="H192" s="167">
        <v>23</v>
      </c>
      <c r="I192" s="168">
        <v>230</v>
      </c>
      <c r="J192" s="169"/>
      <c r="K192" s="31"/>
      <c r="L192" s="33">
        <f>240-60-180</f>
        <v>0</v>
      </c>
      <c r="M192" s="34">
        <v>180</v>
      </c>
      <c r="N192" s="35">
        <v>50</v>
      </c>
      <c r="O192" s="36"/>
      <c r="P192" s="37">
        <f t="shared" si="33"/>
        <v>230</v>
      </c>
    </row>
    <row r="193" spans="1:16" ht="14.25" hidden="1">
      <c r="A193" s="147">
        <v>6</v>
      </c>
      <c r="B193" s="163" t="s">
        <v>253</v>
      </c>
      <c r="C193" s="164" t="s">
        <v>20</v>
      </c>
      <c r="D193" s="165" t="s">
        <v>251</v>
      </c>
      <c r="E193" s="166">
        <v>45839</v>
      </c>
      <c r="F193" s="139">
        <v>633.99</v>
      </c>
      <c r="G193" s="144">
        <f t="shared" si="31"/>
        <v>0</v>
      </c>
      <c r="H193" s="167">
        <v>0</v>
      </c>
      <c r="I193" s="168">
        <v>0</v>
      </c>
      <c r="J193" s="31"/>
      <c r="K193" s="31"/>
      <c r="L193" s="33">
        <f>1000-1000</f>
        <v>0</v>
      </c>
      <c r="M193" s="34"/>
      <c r="N193" s="35">
        <v>0</v>
      </c>
      <c r="O193" s="36"/>
      <c r="P193" s="37">
        <f t="shared" si="33"/>
        <v>0</v>
      </c>
    </row>
    <row r="194" spans="1:16" ht="28.5" hidden="1">
      <c r="A194" s="147">
        <v>8</v>
      </c>
      <c r="B194" s="163" t="s">
        <v>254</v>
      </c>
      <c r="C194" s="164" t="s">
        <v>118</v>
      </c>
      <c r="D194" s="165" t="s">
        <v>37</v>
      </c>
      <c r="E194" s="166">
        <v>46054</v>
      </c>
      <c r="F194" s="139">
        <v>256.95999999999998</v>
      </c>
      <c r="G194" s="144">
        <f t="shared" si="31"/>
        <v>0</v>
      </c>
      <c r="H194" s="167">
        <v>0</v>
      </c>
      <c r="I194" s="168">
        <v>0</v>
      </c>
      <c r="J194" s="170"/>
      <c r="K194" s="31"/>
      <c r="L194" s="33">
        <v>0</v>
      </c>
      <c r="M194" s="34"/>
      <c r="N194" s="35">
        <v>0</v>
      </c>
      <c r="O194" s="36"/>
      <c r="P194" s="37">
        <f t="shared" si="33"/>
        <v>0</v>
      </c>
    </row>
    <row r="195" spans="1:16" ht="28.5">
      <c r="A195" s="147">
        <v>9</v>
      </c>
      <c r="B195" s="163" t="s">
        <v>254</v>
      </c>
      <c r="C195" s="164" t="s">
        <v>118</v>
      </c>
      <c r="D195" s="165" t="s">
        <v>231</v>
      </c>
      <c r="E195" s="166">
        <v>46296</v>
      </c>
      <c r="F195" s="139">
        <v>801.36</v>
      </c>
      <c r="G195" s="144">
        <f t="shared" si="31"/>
        <v>3205.44</v>
      </c>
      <c r="H195" s="167">
        <v>4</v>
      </c>
      <c r="I195" s="168">
        <v>60</v>
      </c>
      <c r="J195" s="169"/>
      <c r="K195" s="31"/>
      <c r="L195" s="33">
        <v>0</v>
      </c>
      <c r="M195" s="34"/>
      <c r="N195" s="35">
        <v>60</v>
      </c>
      <c r="O195" s="36"/>
      <c r="P195" s="37">
        <f t="shared" si="33"/>
        <v>60</v>
      </c>
    </row>
    <row r="196" spans="1:16" ht="14.25">
      <c r="A196" s="147">
        <v>10</v>
      </c>
      <c r="B196" s="163" t="s">
        <v>255</v>
      </c>
      <c r="C196" s="164" t="s">
        <v>20</v>
      </c>
      <c r="D196" s="165" t="s">
        <v>248</v>
      </c>
      <c r="E196" s="166">
        <v>46419</v>
      </c>
      <c r="F196" s="139">
        <v>205.6</v>
      </c>
      <c r="G196" s="144">
        <f t="shared" si="31"/>
        <v>205.6</v>
      </c>
      <c r="H196" s="167">
        <v>1</v>
      </c>
      <c r="I196" s="168">
        <v>80</v>
      </c>
      <c r="J196" s="169"/>
      <c r="K196" s="31"/>
      <c r="L196" s="33">
        <f>100-100</f>
        <v>0</v>
      </c>
      <c r="M196" s="34">
        <v>80</v>
      </c>
      <c r="N196" s="35"/>
      <c r="O196" s="36"/>
      <c r="P196" s="37">
        <f t="shared" si="33"/>
        <v>80</v>
      </c>
    </row>
    <row r="197" spans="1:16" ht="14.25">
      <c r="A197" s="147"/>
      <c r="B197" s="163" t="s">
        <v>355</v>
      </c>
      <c r="C197" s="164" t="s">
        <v>118</v>
      </c>
      <c r="D197" s="165"/>
      <c r="E197" s="166"/>
      <c r="F197" s="139">
        <v>14.89</v>
      </c>
      <c r="G197" s="247">
        <f t="shared" si="31"/>
        <v>297.8</v>
      </c>
      <c r="H197" s="167">
        <v>20</v>
      </c>
      <c r="I197" s="168"/>
      <c r="J197" s="31"/>
      <c r="K197" s="31"/>
      <c r="L197" s="33">
        <v>20</v>
      </c>
      <c r="M197" s="34"/>
      <c r="N197" s="35"/>
      <c r="O197" s="36"/>
      <c r="P197" s="37"/>
    </row>
    <row r="198" spans="1:16" ht="28.5">
      <c r="A198" s="147">
        <v>11</v>
      </c>
      <c r="B198" s="163" t="s">
        <v>256</v>
      </c>
      <c r="C198" s="164" t="s">
        <v>23</v>
      </c>
      <c r="D198" s="165" t="s">
        <v>101</v>
      </c>
      <c r="E198" s="166">
        <v>46357</v>
      </c>
      <c r="F198" s="139">
        <v>370</v>
      </c>
      <c r="G198" s="144">
        <f t="shared" si="31"/>
        <v>74000</v>
      </c>
      <c r="H198" s="167">
        <v>200</v>
      </c>
      <c r="I198" s="168"/>
      <c r="J198" s="31"/>
      <c r="K198" s="31"/>
      <c r="L198" s="33">
        <v>0</v>
      </c>
      <c r="M198" s="34">
        <v>200</v>
      </c>
      <c r="N198" s="35"/>
      <c r="O198" s="36"/>
      <c r="P198" s="37">
        <f t="shared" ref="P198:P199" si="34">L198+M198+N198</f>
        <v>200</v>
      </c>
    </row>
    <row r="199" spans="1:16" ht="15">
      <c r="A199" s="147">
        <v>12</v>
      </c>
      <c r="B199" s="171" t="s">
        <v>257</v>
      </c>
      <c r="C199" s="172" t="s">
        <v>20</v>
      </c>
      <c r="D199" s="173" t="s">
        <v>248</v>
      </c>
      <c r="E199" s="174">
        <v>46357</v>
      </c>
      <c r="F199" s="175">
        <v>51.54</v>
      </c>
      <c r="G199" s="144">
        <f t="shared" si="31"/>
        <v>51.54</v>
      </c>
      <c r="H199" s="154">
        <v>1</v>
      </c>
      <c r="I199" s="159">
        <v>80</v>
      </c>
      <c r="J199" s="156"/>
      <c r="K199" s="155"/>
      <c r="L199" s="157">
        <v>0</v>
      </c>
      <c r="M199" s="176">
        <v>80</v>
      </c>
      <c r="N199" s="35"/>
      <c r="O199" s="36"/>
      <c r="P199" s="37">
        <f t="shared" si="34"/>
        <v>80</v>
      </c>
    </row>
    <row r="200" spans="1:16" ht="30">
      <c r="A200" s="147">
        <v>13</v>
      </c>
      <c r="B200" s="171" t="s">
        <v>258</v>
      </c>
      <c r="C200" s="172" t="s">
        <v>20</v>
      </c>
      <c r="D200" s="173" t="s">
        <v>259</v>
      </c>
      <c r="E200" s="174">
        <v>46053</v>
      </c>
      <c r="F200" s="175">
        <v>28.966000000000001</v>
      </c>
      <c r="G200" s="144">
        <f t="shared" si="31"/>
        <v>289.66000000000003</v>
      </c>
      <c r="H200" s="154">
        <v>10</v>
      </c>
      <c r="I200" s="159">
        <v>280</v>
      </c>
      <c r="J200" s="155"/>
      <c r="K200" s="155"/>
      <c r="L200" s="157">
        <v>0</v>
      </c>
      <c r="M200" s="176">
        <v>280</v>
      </c>
      <c r="N200" s="35"/>
      <c r="O200" s="36"/>
      <c r="P200" s="37"/>
    </row>
    <row r="201" spans="1:16" ht="30">
      <c r="A201" s="147">
        <v>14</v>
      </c>
      <c r="B201" s="171" t="s">
        <v>260</v>
      </c>
      <c r="C201" s="172" t="s">
        <v>20</v>
      </c>
      <c r="D201" s="173" t="s">
        <v>261</v>
      </c>
      <c r="E201" s="174">
        <v>46023</v>
      </c>
      <c r="F201" s="175">
        <v>444.13900000000001</v>
      </c>
      <c r="G201" s="144">
        <f t="shared" si="31"/>
        <v>4441.3900000000003</v>
      </c>
      <c r="H201" s="154">
        <v>10</v>
      </c>
      <c r="I201" s="159">
        <v>980</v>
      </c>
      <c r="J201" s="155"/>
      <c r="K201" s="155"/>
      <c r="L201" s="157">
        <v>0</v>
      </c>
      <c r="M201" s="176">
        <v>980</v>
      </c>
      <c r="N201" s="35"/>
      <c r="O201" s="36"/>
      <c r="P201" s="37"/>
    </row>
    <row r="202" spans="1:16" ht="30" hidden="1">
      <c r="A202" s="147">
        <v>15</v>
      </c>
      <c r="B202" s="177" t="s">
        <v>262</v>
      </c>
      <c r="C202" s="172" t="s">
        <v>23</v>
      </c>
      <c r="D202" s="173" t="s">
        <v>263</v>
      </c>
      <c r="E202" s="174">
        <v>45962</v>
      </c>
      <c r="F202" s="175">
        <v>200</v>
      </c>
      <c r="G202" s="144">
        <f t="shared" si="31"/>
        <v>0</v>
      </c>
      <c r="H202" s="154">
        <v>0</v>
      </c>
      <c r="I202" s="155"/>
      <c r="J202" s="155"/>
      <c r="K202" s="155"/>
      <c r="L202" s="157">
        <v>0</v>
      </c>
      <c r="M202" s="176"/>
      <c r="N202" s="35">
        <v>0</v>
      </c>
      <c r="O202" s="36"/>
      <c r="P202" s="37">
        <f t="shared" ref="P202:P205" si="35">L202+M202+N202</f>
        <v>0</v>
      </c>
    </row>
    <row r="203" spans="1:16" ht="45">
      <c r="A203" s="147">
        <v>16</v>
      </c>
      <c r="B203" s="177" t="s">
        <v>264</v>
      </c>
      <c r="C203" s="149" t="s">
        <v>23</v>
      </c>
      <c r="D203" s="158" t="s">
        <v>263</v>
      </c>
      <c r="E203" s="150"/>
      <c r="F203" s="152">
        <v>200</v>
      </c>
      <c r="G203" s="153">
        <f t="shared" si="31"/>
        <v>0</v>
      </c>
      <c r="H203" s="162">
        <v>0</v>
      </c>
      <c r="I203" s="155"/>
      <c r="J203" s="155"/>
      <c r="K203" s="155"/>
      <c r="L203" s="157">
        <v>0</v>
      </c>
      <c r="M203" s="176">
        <v>0</v>
      </c>
      <c r="N203" s="178"/>
      <c r="O203" s="155"/>
      <c r="P203" s="37">
        <f t="shared" si="35"/>
        <v>0</v>
      </c>
    </row>
    <row r="204" spans="1:16" ht="15" hidden="1">
      <c r="A204" s="147">
        <v>19</v>
      </c>
      <c r="B204" s="177" t="s">
        <v>265</v>
      </c>
      <c r="C204" s="172" t="s">
        <v>266</v>
      </c>
      <c r="D204" s="173"/>
      <c r="E204" s="179">
        <v>46174</v>
      </c>
      <c r="F204" s="175">
        <v>18.690000000000001</v>
      </c>
      <c r="G204" s="144">
        <f t="shared" si="31"/>
        <v>0</v>
      </c>
      <c r="H204" s="154">
        <v>0</v>
      </c>
      <c r="I204" s="155"/>
      <c r="J204" s="156"/>
      <c r="K204" s="155"/>
      <c r="L204" s="157">
        <v>0</v>
      </c>
      <c r="M204" s="176"/>
      <c r="N204" s="180">
        <v>0</v>
      </c>
      <c r="O204" s="155"/>
      <c r="P204" s="37">
        <f t="shared" si="35"/>
        <v>0</v>
      </c>
    </row>
    <row r="205" spans="1:16" ht="15" hidden="1">
      <c r="A205" s="147">
        <v>18</v>
      </c>
      <c r="B205" s="177" t="s">
        <v>267</v>
      </c>
      <c r="C205" s="172" t="s">
        <v>266</v>
      </c>
      <c r="D205" s="173"/>
      <c r="E205" s="179">
        <v>45870</v>
      </c>
      <c r="F205" s="175">
        <v>22.77</v>
      </c>
      <c r="G205" s="144">
        <f t="shared" si="31"/>
        <v>0</v>
      </c>
      <c r="H205" s="154">
        <v>0</v>
      </c>
      <c r="I205" s="155"/>
      <c r="J205" s="156"/>
      <c r="K205" s="155"/>
      <c r="L205" s="157">
        <v>0</v>
      </c>
      <c r="M205" s="176">
        <v>0</v>
      </c>
      <c r="N205" s="180"/>
      <c r="O205" s="155"/>
      <c r="P205" s="37">
        <f t="shared" si="35"/>
        <v>0</v>
      </c>
    </row>
    <row r="206" spans="1:16" ht="17.25" customHeight="1">
      <c r="A206" s="147">
        <v>20</v>
      </c>
      <c r="B206" s="177" t="s">
        <v>268</v>
      </c>
      <c r="C206" s="172" t="s">
        <v>47</v>
      </c>
      <c r="D206" s="173" t="s">
        <v>248</v>
      </c>
      <c r="E206" s="181"/>
      <c r="F206" s="175">
        <v>1208.98</v>
      </c>
      <c r="G206" s="144">
        <f t="shared" si="31"/>
        <v>1208.98</v>
      </c>
      <c r="H206" s="154">
        <v>1</v>
      </c>
      <c r="I206" s="159">
        <v>100</v>
      </c>
      <c r="J206" s="155"/>
      <c r="K206" s="155"/>
      <c r="L206" s="157">
        <f>100-100</f>
        <v>0</v>
      </c>
      <c r="M206" s="176">
        <v>100</v>
      </c>
      <c r="N206" s="180"/>
      <c r="O206" s="155"/>
      <c r="P206" s="37"/>
    </row>
    <row r="207" spans="1:16" ht="15" hidden="1">
      <c r="A207" s="147">
        <v>21</v>
      </c>
      <c r="B207" s="177" t="s">
        <v>269</v>
      </c>
      <c r="C207" s="172" t="s">
        <v>20</v>
      </c>
      <c r="D207" s="173" t="s">
        <v>248</v>
      </c>
      <c r="E207" s="174">
        <v>45962</v>
      </c>
      <c r="F207" s="175">
        <v>50</v>
      </c>
      <c r="G207" s="144">
        <f t="shared" si="31"/>
        <v>0</v>
      </c>
      <c r="H207" s="154">
        <v>0</v>
      </c>
      <c r="I207" s="159"/>
      <c r="J207" s="155"/>
      <c r="K207" s="155"/>
      <c r="L207" s="157">
        <v>0</v>
      </c>
      <c r="M207" s="176">
        <v>0</v>
      </c>
      <c r="N207" s="180"/>
      <c r="O207" s="155"/>
      <c r="P207" s="37">
        <f t="shared" ref="P207:P213" si="36">L207+M207+N207</f>
        <v>0</v>
      </c>
    </row>
    <row r="208" spans="1:16" ht="15" hidden="1">
      <c r="A208" s="147">
        <v>22</v>
      </c>
      <c r="B208" s="177" t="s">
        <v>270</v>
      </c>
      <c r="C208" s="172" t="s">
        <v>20</v>
      </c>
      <c r="D208" s="173" t="s">
        <v>241</v>
      </c>
      <c r="E208" s="174">
        <v>45931</v>
      </c>
      <c r="F208" s="175">
        <v>220.67</v>
      </c>
      <c r="G208" s="144">
        <f t="shared" si="31"/>
        <v>0</v>
      </c>
      <c r="H208" s="154">
        <v>0</v>
      </c>
      <c r="I208" s="155"/>
      <c r="J208" s="155"/>
      <c r="K208" s="155"/>
      <c r="L208" s="157">
        <v>0</v>
      </c>
      <c r="M208" s="176"/>
      <c r="N208" s="180">
        <v>0</v>
      </c>
      <c r="O208" s="155"/>
      <c r="P208" s="37">
        <f t="shared" si="36"/>
        <v>0</v>
      </c>
    </row>
    <row r="209" spans="1:16" ht="30">
      <c r="A209" s="147">
        <v>23</v>
      </c>
      <c r="B209" s="177" t="s">
        <v>271</v>
      </c>
      <c r="C209" s="172" t="s">
        <v>20</v>
      </c>
      <c r="D209" s="173" t="s">
        <v>241</v>
      </c>
      <c r="E209" s="174">
        <v>45992</v>
      </c>
      <c r="F209" s="175">
        <v>276.39</v>
      </c>
      <c r="G209" s="144">
        <f t="shared" si="31"/>
        <v>3869.46</v>
      </c>
      <c r="H209" s="154">
        <v>14</v>
      </c>
      <c r="I209" s="155"/>
      <c r="J209" s="155"/>
      <c r="K209" s="155"/>
      <c r="L209" s="157">
        <v>0</v>
      </c>
      <c r="M209" s="176">
        <v>14</v>
      </c>
      <c r="N209" s="180"/>
      <c r="O209" s="155"/>
      <c r="P209" s="37">
        <f t="shared" si="36"/>
        <v>14</v>
      </c>
    </row>
    <row r="210" spans="1:16" ht="45">
      <c r="A210" s="147">
        <v>24</v>
      </c>
      <c r="B210" s="177" t="s">
        <v>272</v>
      </c>
      <c r="C210" s="149" t="s">
        <v>23</v>
      </c>
      <c r="D210" s="158" t="s">
        <v>273</v>
      </c>
      <c r="E210" s="182">
        <v>45962</v>
      </c>
      <c r="F210" s="152">
        <v>200</v>
      </c>
      <c r="G210" s="153">
        <f t="shared" si="31"/>
        <v>29000</v>
      </c>
      <c r="H210" s="162">
        <v>145</v>
      </c>
      <c r="I210" s="155"/>
      <c r="J210" s="155"/>
      <c r="K210" s="155"/>
      <c r="L210" s="157">
        <v>0</v>
      </c>
      <c r="M210" s="176">
        <v>145</v>
      </c>
      <c r="N210" s="180">
        <v>0</v>
      </c>
      <c r="O210" s="155"/>
      <c r="P210" s="37">
        <f t="shared" si="36"/>
        <v>145</v>
      </c>
    </row>
    <row r="211" spans="1:16" ht="45">
      <c r="A211" s="147">
        <v>25</v>
      </c>
      <c r="B211" s="177" t="s">
        <v>274</v>
      </c>
      <c r="C211" s="164" t="s">
        <v>23</v>
      </c>
      <c r="D211" s="165" t="s">
        <v>275</v>
      </c>
      <c r="E211" s="166">
        <v>46082</v>
      </c>
      <c r="F211" s="139">
        <v>200</v>
      </c>
      <c r="G211" s="153">
        <f t="shared" si="31"/>
        <v>9600</v>
      </c>
      <c r="H211" s="167">
        <v>48</v>
      </c>
      <c r="I211" s="168"/>
      <c r="J211" s="31"/>
      <c r="K211" s="31"/>
      <c r="L211" s="33">
        <v>0</v>
      </c>
      <c r="M211" s="34">
        <v>48</v>
      </c>
      <c r="N211" s="35">
        <v>0</v>
      </c>
      <c r="O211" s="36"/>
      <c r="P211" s="37">
        <f t="shared" si="36"/>
        <v>48</v>
      </c>
    </row>
    <row r="212" spans="1:16" ht="45">
      <c r="A212" s="147"/>
      <c r="B212" s="177" t="s">
        <v>274</v>
      </c>
      <c r="C212" s="172" t="s">
        <v>23</v>
      </c>
      <c r="D212" s="173" t="s">
        <v>275</v>
      </c>
      <c r="E212" s="179">
        <v>46082</v>
      </c>
      <c r="F212" s="175">
        <v>200</v>
      </c>
      <c r="G212" s="153">
        <f t="shared" si="31"/>
        <v>62400</v>
      </c>
      <c r="H212" s="154">
        <v>312</v>
      </c>
      <c r="I212" s="155"/>
      <c r="J212" s="155"/>
      <c r="K212" s="155"/>
      <c r="L212" s="157"/>
      <c r="M212" s="176">
        <v>212</v>
      </c>
      <c r="N212" s="180">
        <v>100</v>
      </c>
      <c r="O212" s="36"/>
      <c r="P212" s="37">
        <f t="shared" si="36"/>
        <v>312</v>
      </c>
    </row>
    <row r="213" spans="1:16" ht="15">
      <c r="A213" s="147">
        <v>26</v>
      </c>
      <c r="B213" s="177" t="s">
        <v>276</v>
      </c>
      <c r="C213" s="149" t="s">
        <v>20</v>
      </c>
      <c r="D213" s="183"/>
      <c r="E213" s="150"/>
      <c r="F213" s="152">
        <v>50</v>
      </c>
      <c r="G213" s="153">
        <f t="shared" si="31"/>
        <v>55250</v>
      </c>
      <c r="H213" s="162">
        <v>1105</v>
      </c>
      <c r="I213" s="155"/>
      <c r="J213" s="155"/>
      <c r="K213" s="155"/>
      <c r="L213" s="157">
        <v>0</v>
      </c>
      <c r="M213" s="176">
        <v>1105</v>
      </c>
      <c r="N213" s="178"/>
      <c r="O213" s="36"/>
      <c r="P213" s="37">
        <f t="shared" si="36"/>
        <v>1105</v>
      </c>
    </row>
    <row r="214" spans="1:16" ht="14.25">
      <c r="A214" s="147"/>
      <c r="B214" s="184" t="s">
        <v>277</v>
      </c>
      <c r="C214" s="172" t="s">
        <v>118</v>
      </c>
      <c r="D214" s="173" t="s">
        <v>278</v>
      </c>
      <c r="E214" s="185"/>
      <c r="F214" s="175">
        <v>1300</v>
      </c>
      <c r="G214" s="153">
        <f t="shared" si="31"/>
        <v>130000</v>
      </c>
      <c r="H214" s="154">
        <v>100</v>
      </c>
      <c r="I214" s="155"/>
      <c r="J214" s="155"/>
      <c r="K214" s="155"/>
      <c r="L214" s="157"/>
      <c r="M214" s="176">
        <v>100</v>
      </c>
      <c r="N214" s="178"/>
      <c r="O214" s="36"/>
      <c r="P214" s="37"/>
    </row>
    <row r="215" spans="1:16" ht="14.25">
      <c r="A215" s="147">
        <v>27</v>
      </c>
      <c r="B215" s="163" t="s">
        <v>279</v>
      </c>
      <c r="C215" s="164" t="s">
        <v>20</v>
      </c>
      <c r="D215" s="165" t="s">
        <v>40</v>
      </c>
      <c r="E215" s="166">
        <v>46569</v>
      </c>
      <c r="F215" s="139">
        <v>47.22</v>
      </c>
      <c r="G215" s="153">
        <f t="shared" si="31"/>
        <v>9774.5399999999991</v>
      </c>
      <c r="H215" s="167">
        <v>207</v>
      </c>
      <c r="I215" s="168">
        <v>4140</v>
      </c>
      <c r="J215" s="169"/>
      <c r="K215" s="31"/>
      <c r="L215" s="33">
        <f>6000-300*20</f>
        <v>0</v>
      </c>
      <c r="M215" s="34">
        <v>4140</v>
      </c>
      <c r="N215" s="35">
        <v>0</v>
      </c>
      <c r="O215" s="36"/>
      <c r="P215" s="37">
        <f t="shared" ref="P215:P217" si="37">L215+M215+N215</f>
        <v>4140</v>
      </c>
    </row>
    <row r="216" spans="1:16" ht="17.25" customHeight="1">
      <c r="A216" s="147">
        <v>28</v>
      </c>
      <c r="B216" s="163" t="s">
        <v>280</v>
      </c>
      <c r="C216" s="164" t="s">
        <v>20</v>
      </c>
      <c r="D216" s="165" t="s">
        <v>248</v>
      </c>
      <c r="E216" s="166">
        <v>46784</v>
      </c>
      <c r="F216" s="139">
        <v>134.38</v>
      </c>
      <c r="G216" s="153">
        <f t="shared" si="31"/>
        <v>2015.6999999999998</v>
      </c>
      <c r="H216" s="167">
        <v>15</v>
      </c>
      <c r="I216" s="168">
        <v>1500</v>
      </c>
      <c r="J216" s="169"/>
      <c r="K216" s="31"/>
      <c r="L216" s="33">
        <f>500-500</f>
        <v>0</v>
      </c>
      <c r="M216" s="34">
        <v>1500</v>
      </c>
      <c r="N216" s="35"/>
      <c r="O216" s="36"/>
      <c r="P216" s="37">
        <f t="shared" si="37"/>
        <v>1500</v>
      </c>
    </row>
    <row r="217" spans="1:16" ht="14.25">
      <c r="A217" s="147">
        <v>29</v>
      </c>
      <c r="B217" s="163" t="s">
        <v>281</v>
      </c>
      <c r="C217" s="164" t="s">
        <v>266</v>
      </c>
      <c r="D217" s="165"/>
      <c r="E217" s="166">
        <v>46447</v>
      </c>
      <c r="F217" s="139">
        <v>19.71</v>
      </c>
      <c r="G217" s="153">
        <f t="shared" si="31"/>
        <v>1084.05</v>
      </c>
      <c r="H217" s="167">
        <v>55</v>
      </c>
      <c r="I217" s="168"/>
      <c r="J217" s="169"/>
      <c r="K217" s="31"/>
      <c r="L217" s="33">
        <v>0</v>
      </c>
      <c r="M217" s="34">
        <v>55</v>
      </c>
      <c r="N217" s="35">
        <v>0</v>
      </c>
      <c r="O217" s="36"/>
      <c r="P217" s="37">
        <f t="shared" si="37"/>
        <v>55</v>
      </c>
    </row>
    <row r="218" spans="1:16" ht="14.25">
      <c r="A218" s="147"/>
      <c r="B218" s="186" t="s">
        <v>356</v>
      </c>
      <c r="C218" s="172" t="s">
        <v>118</v>
      </c>
      <c r="D218" s="165"/>
      <c r="E218" s="166"/>
      <c r="F218" s="139">
        <v>643.08000000000004</v>
      </c>
      <c r="G218" s="246">
        <f t="shared" si="31"/>
        <v>19292.400000000001</v>
      </c>
      <c r="H218" s="167">
        <v>30</v>
      </c>
      <c r="I218" s="168"/>
      <c r="J218" s="169"/>
      <c r="K218" s="31"/>
      <c r="L218" s="33">
        <f>30-5</f>
        <v>25</v>
      </c>
      <c r="M218" s="34"/>
      <c r="N218" s="35">
        <v>5</v>
      </c>
      <c r="O218" s="36"/>
      <c r="P218" s="37"/>
    </row>
    <row r="219" spans="1:16" ht="28.5">
      <c r="A219" s="147"/>
      <c r="B219" s="186" t="s">
        <v>282</v>
      </c>
      <c r="C219" s="164" t="s">
        <v>118</v>
      </c>
      <c r="D219" s="165" t="s">
        <v>40</v>
      </c>
      <c r="E219" s="166"/>
      <c r="F219" s="139">
        <v>270</v>
      </c>
      <c r="G219" s="153">
        <f t="shared" si="31"/>
        <v>18900</v>
      </c>
      <c r="H219" s="167">
        <v>70</v>
      </c>
      <c r="I219" s="168"/>
      <c r="J219" s="169"/>
      <c r="K219" s="31"/>
      <c r="L219" s="33"/>
      <c r="M219" s="34">
        <v>70</v>
      </c>
      <c r="N219" s="35"/>
      <c r="O219" s="36"/>
      <c r="P219" s="37"/>
    </row>
    <row r="220" spans="1:16" ht="14.25">
      <c r="A220" s="147">
        <v>30</v>
      </c>
      <c r="B220" s="163" t="s">
        <v>283</v>
      </c>
      <c r="C220" s="164" t="s">
        <v>20</v>
      </c>
      <c r="D220" s="165" t="s">
        <v>248</v>
      </c>
      <c r="E220" s="166">
        <v>46235</v>
      </c>
      <c r="F220" s="139">
        <v>94.96</v>
      </c>
      <c r="G220" s="144">
        <f t="shared" si="31"/>
        <v>8641.3599999999988</v>
      </c>
      <c r="H220" s="167">
        <v>91</v>
      </c>
      <c r="I220" s="168">
        <v>9100</v>
      </c>
      <c r="J220" s="169"/>
      <c r="K220" s="31"/>
      <c r="L220" s="33">
        <f>100*100-10000</f>
        <v>0</v>
      </c>
      <c r="M220" s="34">
        <v>9100</v>
      </c>
      <c r="N220" s="35"/>
      <c r="O220" s="36"/>
      <c r="P220" s="37">
        <f t="shared" ref="P220:P221" si="38">L220+M220+N220</f>
        <v>9100</v>
      </c>
    </row>
    <row r="221" spans="1:16" ht="14.25">
      <c r="A221" s="147">
        <v>31</v>
      </c>
      <c r="B221" s="163" t="s">
        <v>284</v>
      </c>
      <c r="C221" s="164" t="s">
        <v>20</v>
      </c>
      <c r="D221" s="165" t="s">
        <v>40</v>
      </c>
      <c r="E221" s="166">
        <v>46113</v>
      </c>
      <c r="F221" s="139">
        <v>98.93</v>
      </c>
      <c r="G221" s="144">
        <f t="shared" si="31"/>
        <v>16125.590000000002</v>
      </c>
      <c r="H221" s="167">
        <v>163</v>
      </c>
      <c r="I221" s="168">
        <v>3260</v>
      </c>
      <c r="J221" s="169"/>
      <c r="K221" s="31"/>
      <c r="L221" s="33">
        <f>4000-200*20</f>
        <v>0</v>
      </c>
      <c r="M221" s="34">
        <v>3260</v>
      </c>
      <c r="N221" s="35"/>
      <c r="O221" s="36"/>
      <c r="P221" s="37">
        <f t="shared" si="38"/>
        <v>3260</v>
      </c>
    </row>
    <row r="222" spans="1:16" ht="14.25">
      <c r="A222" s="147"/>
      <c r="B222" s="187" t="s">
        <v>285</v>
      </c>
      <c r="C222" s="164" t="s">
        <v>23</v>
      </c>
      <c r="D222" s="165" t="s">
        <v>286</v>
      </c>
      <c r="E222" s="166"/>
      <c r="F222" s="139">
        <v>200</v>
      </c>
      <c r="G222" s="144">
        <f t="shared" si="31"/>
        <v>21600</v>
      </c>
      <c r="H222" s="167">
        <v>108</v>
      </c>
      <c r="I222" s="168"/>
      <c r="J222" s="169"/>
      <c r="K222" s="31"/>
      <c r="L222" s="33"/>
      <c r="M222" s="34">
        <f>80+28</f>
        <v>108</v>
      </c>
      <c r="N222" s="35">
        <v>0</v>
      </c>
      <c r="O222" s="36"/>
      <c r="P222" s="37"/>
    </row>
    <row r="223" spans="1:16" ht="14.25">
      <c r="A223" s="147"/>
      <c r="B223" s="163" t="s">
        <v>357</v>
      </c>
      <c r="C223" s="164" t="s">
        <v>118</v>
      </c>
      <c r="D223" s="165"/>
      <c r="E223" s="166"/>
      <c r="F223" s="139">
        <v>5.39</v>
      </c>
      <c r="G223" s="247">
        <f t="shared" si="31"/>
        <v>1078</v>
      </c>
      <c r="H223" s="167">
        <v>200</v>
      </c>
      <c r="I223" s="168"/>
      <c r="J223" s="169"/>
      <c r="K223" s="31"/>
      <c r="L223" s="33">
        <f>200-200</f>
        <v>0</v>
      </c>
      <c r="M223" s="34"/>
      <c r="N223" s="35">
        <v>200</v>
      </c>
      <c r="O223" s="36"/>
      <c r="P223" s="37"/>
    </row>
    <row r="224" spans="1:16" ht="28.5">
      <c r="A224" s="147">
        <v>32</v>
      </c>
      <c r="B224" s="163" t="s">
        <v>287</v>
      </c>
      <c r="C224" s="164" t="s">
        <v>20</v>
      </c>
      <c r="D224" s="165" t="s">
        <v>37</v>
      </c>
      <c r="E224" s="166"/>
      <c r="F224" s="139">
        <v>314.45</v>
      </c>
      <c r="G224" s="144">
        <f t="shared" si="31"/>
        <v>943.34999999999991</v>
      </c>
      <c r="H224" s="167">
        <v>3</v>
      </c>
      <c r="I224" s="168">
        <v>22</v>
      </c>
      <c r="J224" s="169"/>
      <c r="K224" s="31"/>
      <c r="L224" s="33">
        <v>0</v>
      </c>
      <c r="M224" s="34"/>
      <c r="N224" s="35">
        <v>22</v>
      </c>
      <c r="O224" s="36"/>
      <c r="P224" s="37"/>
    </row>
    <row r="225" spans="1:16" ht="14.25">
      <c r="A225" s="147">
        <v>33</v>
      </c>
      <c r="B225" s="163" t="s">
        <v>288</v>
      </c>
      <c r="C225" s="164" t="s">
        <v>20</v>
      </c>
      <c r="D225" s="165" t="s">
        <v>251</v>
      </c>
      <c r="E225" s="166">
        <v>46722</v>
      </c>
      <c r="F225" s="139">
        <v>473.92</v>
      </c>
      <c r="G225" s="144">
        <f t="shared" si="31"/>
        <v>12321.92</v>
      </c>
      <c r="H225" s="167">
        <v>26</v>
      </c>
      <c r="I225" s="168">
        <v>26000</v>
      </c>
      <c r="J225" s="169"/>
      <c r="K225" s="31"/>
      <c r="L225" s="33">
        <f>21000-21*1000</f>
        <v>0</v>
      </c>
      <c r="M225" s="34">
        <f>5000+21*1000</f>
        <v>26000</v>
      </c>
      <c r="N225" s="35">
        <v>0</v>
      </c>
      <c r="O225" s="36"/>
      <c r="P225" s="37">
        <f t="shared" ref="P225:P227" si="39">L225+M225+N225</f>
        <v>26000</v>
      </c>
    </row>
    <row r="226" spans="1:16" ht="14.25">
      <c r="A226" s="147">
        <v>34</v>
      </c>
      <c r="B226" s="163" t="s">
        <v>289</v>
      </c>
      <c r="C226" s="164" t="s">
        <v>20</v>
      </c>
      <c r="D226" s="165" t="s">
        <v>251</v>
      </c>
      <c r="E226" s="166">
        <v>46388</v>
      </c>
      <c r="F226" s="139">
        <v>520.04999999999995</v>
      </c>
      <c r="G226" s="144">
        <f t="shared" si="31"/>
        <v>7800.7499999999991</v>
      </c>
      <c r="H226" s="167">
        <v>15</v>
      </c>
      <c r="I226" s="168">
        <v>14230</v>
      </c>
      <c r="J226" s="169"/>
      <c r="K226" s="31"/>
      <c r="L226" s="33">
        <f>5000-5000</f>
        <v>0</v>
      </c>
      <c r="M226" s="34">
        <v>14230</v>
      </c>
      <c r="N226" s="35"/>
      <c r="O226" s="36"/>
      <c r="P226" s="37">
        <f t="shared" si="39"/>
        <v>14230</v>
      </c>
    </row>
    <row r="227" spans="1:16" ht="14.25">
      <c r="A227" s="147">
        <v>35</v>
      </c>
      <c r="B227" s="163" t="s">
        <v>290</v>
      </c>
      <c r="C227" s="164" t="s">
        <v>20</v>
      </c>
      <c r="D227" s="165" t="s">
        <v>71</v>
      </c>
      <c r="E227" s="166">
        <v>47119</v>
      </c>
      <c r="F227" s="139">
        <v>103.43</v>
      </c>
      <c r="G227" s="144">
        <f t="shared" si="31"/>
        <v>310.29000000000002</v>
      </c>
      <c r="H227" s="167">
        <v>3</v>
      </c>
      <c r="I227" s="168">
        <v>150</v>
      </c>
      <c r="J227" s="169"/>
      <c r="K227" s="31"/>
      <c r="L227" s="33">
        <v>0</v>
      </c>
      <c r="M227" s="34">
        <v>150</v>
      </c>
      <c r="N227" s="35"/>
      <c r="O227" s="36"/>
      <c r="P227" s="37">
        <f t="shared" si="39"/>
        <v>150</v>
      </c>
    </row>
    <row r="228" spans="1:16" ht="14.25">
      <c r="A228" s="147"/>
      <c r="B228" s="188" t="s">
        <v>291</v>
      </c>
      <c r="C228" s="164" t="s">
        <v>20</v>
      </c>
      <c r="D228" s="165" t="s">
        <v>248</v>
      </c>
      <c r="E228" s="166"/>
      <c r="F228" s="139">
        <v>230</v>
      </c>
      <c r="G228" s="144">
        <f t="shared" si="31"/>
        <v>69000</v>
      </c>
      <c r="H228" s="167">
        <v>300</v>
      </c>
      <c r="I228" s="168">
        <v>30000</v>
      </c>
      <c r="J228" s="169"/>
      <c r="K228" s="31"/>
      <c r="L228" s="33"/>
      <c r="M228" s="34">
        <v>300</v>
      </c>
      <c r="N228" s="35"/>
      <c r="O228" s="36"/>
      <c r="P228" s="37"/>
    </row>
    <row r="229" spans="1:16" ht="14.25">
      <c r="A229" s="147">
        <v>36</v>
      </c>
      <c r="B229" s="163" t="s">
        <v>292</v>
      </c>
      <c r="C229" s="164" t="s">
        <v>118</v>
      </c>
      <c r="D229" s="165"/>
      <c r="E229" s="166">
        <v>46327</v>
      </c>
      <c r="F229" s="139">
        <v>37.630000000000003</v>
      </c>
      <c r="G229" s="144">
        <f t="shared" si="31"/>
        <v>5606.8700000000008</v>
      </c>
      <c r="H229" s="167">
        <v>149</v>
      </c>
      <c r="I229" s="168"/>
      <c r="J229" s="169"/>
      <c r="K229" s="31"/>
      <c r="L229" s="33"/>
      <c r="M229" s="34">
        <v>75</v>
      </c>
      <c r="N229" s="35">
        <v>74</v>
      </c>
      <c r="O229" s="36"/>
      <c r="P229" s="37">
        <f t="shared" ref="P229:P230" si="40">L229+M229+N229</f>
        <v>149</v>
      </c>
    </row>
    <row r="230" spans="1:16" ht="28.5" hidden="1">
      <c r="A230" s="147">
        <v>37</v>
      </c>
      <c r="B230" s="163" t="s">
        <v>293</v>
      </c>
      <c r="C230" s="164" t="s">
        <v>20</v>
      </c>
      <c r="D230" s="165" t="s">
        <v>248</v>
      </c>
      <c r="E230" s="166">
        <v>45901</v>
      </c>
      <c r="F230" s="139">
        <v>1537</v>
      </c>
      <c r="G230" s="144">
        <f t="shared" si="31"/>
        <v>0</v>
      </c>
      <c r="H230" s="167">
        <v>0</v>
      </c>
      <c r="I230" s="168">
        <v>0</v>
      </c>
      <c r="J230" s="169"/>
      <c r="K230" s="31"/>
      <c r="L230" s="33">
        <v>0</v>
      </c>
      <c r="M230" s="34">
        <v>0</v>
      </c>
      <c r="N230" s="35"/>
      <c r="O230" s="36"/>
      <c r="P230" s="37">
        <f t="shared" si="40"/>
        <v>0</v>
      </c>
    </row>
    <row r="231" spans="1:16" ht="28.5">
      <c r="A231" s="147">
        <v>38</v>
      </c>
      <c r="B231" s="163" t="s">
        <v>294</v>
      </c>
      <c r="C231" s="164" t="s">
        <v>20</v>
      </c>
      <c r="D231" s="165" t="s">
        <v>248</v>
      </c>
      <c r="E231" s="166"/>
      <c r="F231" s="139">
        <v>1575.02</v>
      </c>
      <c r="G231" s="144">
        <f t="shared" si="31"/>
        <v>4725.0599999999995</v>
      </c>
      <c r="H231" s="167">
        <v>3</v>
      </c>
      <c r="I231" s="168">
        <v>300</v>
      </c>
      <c r="J231" s="169"/>
      <c r="K231" s="31"/>
      <c r="L231" s="33">
        <v>0</v>
      </c>
      <c r="M231" s="34">
        <v>300</v>
      </c>
      <c r="N231" s="35"/>
      <c r="O231" s="36"/>
      <c r="P231" s="37"/>
    </row>
    <row r="232" spans="1:16" ht="14.25">
      <c r="A232" s="147">
        <v>39</v>
      </c>
      <c r="B232" s="163" t="s">
        <v>295</v>
      </c>
      <c r="C232" s="164" t="s">
        <v>20</v>
      </c>
      <c r="D232" s="165" t="s">
        <v>261</v>
      </c>
      <c r="E232" s="166">
        <v>46053</v>
      </c>
      <c r="F232" s="139">
        <v>101.38</v>
      </c>
      <c r="G232" s="144">
        <f t="shared" si="31"/>
        <v>506.9</v>
      </c>
      <c r="H232" s="167">
        <v>5</v>
      </c>
      <c r="I232" s="168">
        <v>490</v>
      </c>
      <c r="J232" s="169"/>
      <c r="K232" s="31"/>
      <c r="L232" s="33"/>
      <c r="M232" s="34">
        <v>490</v>
      </c>
      <c r="N232" s="35"/>
      <c r="O232" s="36"/>
      <c r="P232" s="37"/>
    </row>
    <row r="233" spans="1:16" ht="14.25">
      <c r="A233" s="147">
        <v>40</v>
      </c>
      <c r="B233" s="163" t="s">
        <v>296</v>
      </c>
      <c r="C233" s="164" t="s">
        <v>20</v>
      </c>
      <c r="D233" s="165" t="s">
        <v>261</v>
      </c>
      <c r="E233" s="166">
        <v>46053</v>
      </c>
      <c r="F233" s="139">
        <v>108.13800000000001</v>
      </c>
      <c r="G233" s="144">
        <f t="shared" si="31"/>
        <v>540.69000000000005</v>
      </c>
      <c r="H233" s="167">
        <v>5</v>
      </c>
      <c r="I233" s="168">
        <v>490</v>
      </c>
      <c r="J233" s="169"/>
      <c r="K233" s="31"/>
      <c r="L233" s="33"/>
      <c r="M233" s="34">
        <v>490</v>
      </c>
      <c r="N233" s="35"/>
      <c r="O233" s="36"/>
      <c r="P233" s="37"/>
    </row>
    <row r="234" spans="1:16" ht="14.25">
      <c r="A234" s="147">
        <v>41</v>
      </c>
      <c r="B234" s="163" t="s">
        <v>297</v>
      </c>
      <c r="C234" s="164" t="s">
        <v>20</v>
      </c>
      <c r="D234" s="165" t="s">
        <v>261</v>
      </c>
      <c r="E234" s="166">
        <v>46023</v>
      </c>
      <c r="F234" s="139">
        <v>137.58600000000001</v>
      </c>
      <c r="G234" s="144">
        <f t="shared" si="31"/>
        <v>687.93000000000006</v>
      </c>
      <c r="H234" s="167">
        <v>5</v>
      </c>
      <c r="I234" s="168">
        <v>490</v>
      </c>
      <c r="J234" s="169"/>
      <c r="K234" s="31"/>
      <c r="L234" s="33"/>
      <c r="M234" s="34">
        <v>490</v>
      </c>
      <c r="N234" s="35"/>
      <c r="O234" s="36"/>
      <c r="P234" s="37"/>
    </row>
    <row r="235" spans="1:16" ht="14.25">
      <c r="A235" s="147">
        <v>42</v>
      </c>
      <c r="B235" s="163" t="s">
        <v>298</v>
      </c>
      <c r="C235" s="164" t="s">
        <v>20</v>
      </c>
      <c r="D235" s="165" t="s">
        <v>261</v>
      </c>
      <c r="E235" s="166">
        <v>46023</v>
      </c>
      <c r="F235" s="139">
        <v>292.07</v>
      </c>
      <c r="G235" s="144">
        <f t="shared" si="31"/>
        <v>2920.7</v>
      </c>
      <c r="H235" s="167">
        <v>10</v>
      </c>
      <c r="I235" s="168">
        <v>980</v>
      </c>
      <c r="J235" s="169"/>
      <c r="K235" s="31"/>
      <c r="L235" s="33"/>
      <c r="M235" s="34">
        <v>980</v>
      </c>
      <c r="N235" s="35"/>
      <c r="O235" s="36"/>
      <c r="P235" s="37"/>
    </row>
    <row r="236" spans="1:16" ht="28.5">
      <c r="A236" s="147">
        <v>43</v>
      </c>
      <c r="B236" s="163" t="s">
        <v>299</v>
      </c>
      <c r="C236" s="164" t="s">
        <v>20</v>
      </c>
      <c r="D236" s="165" t="s">
        <v>248</v>
      </c>
      <c r="E236" s="166">
        <v>46082</v>
      </c>
      <c r="F236" s="139">
        <v>45.69</v>
      </c>
      <c r="G236" s="144">
        <f t="shared" si="31"/>
        <v>5802.63</v>
      </c>
      <c r="H236" s="167">
        <v>127</v>
      </c>
      <c r="I236" s="168">
        <v>12630</v>
      </c>
      <c r="J236" s="169"/>
      <c r="K236" s="31"/>
      <c r="L236" s="33">
        <f>15000-150*100</f>
        <v>0</v>
      </c>
      <c r="M236" s="34">
        <v>12630</v>
      </c>
      <c r="N236" s="35"/>
      <c r="O236" s="36"/>
      <c r="P236" s="37">
        <f t="shared" ref="P236:P239" si="41">L236+M236+N236</f>
        <v>12630</v>
      </c>
    </row>
    <row r="237" spans="1:16" ht="14.25">
      <c r="A237" s="147">
        <v>44</v>
      </c>
      <c r="B237" s="163" t="s">
        <v>300</v>
      </c>
      <c r="C237" s="164" t="s">
        <v>20</v>
      </c>
      <c r="D237" s="165" t="s">
        <v>259</v>
      </c>
      <c r="E237" s="166">
        <v>46023</v>
      </c>
      <c r="F237" s="139">
        <v>76.900000000000006</v>
      </c>
      <c r="G237" s="144">
        <f t="shared" si="31"/>
        <v>4690.9000000000005</v>
      </c>
      <c r="H237" s="167">
        <v>61</v>
      </c>
      <c r="I237" s="168">
        <v>1708</v>
      </c>
      <c r="J237" s="169"/>
      <c r="K237" s="31"/>
      <c r="L237" s="33">
        <f>85*28-85*28</f>
        <v>0</v>
      </c>
      <c r="M237" s="34">
        <v>1708</v>
      </c>
      <c r="N237" s="35"/>
      <c r="O237" s="36"/>
      <c r="P237" s="37">
        <f t="shared" si="41"/>
        <v>1708</v>
      </c>
    </row>
    <row r="238" spans="1:16" ht="28.5">
      <c r="A238" s="147">
        <v>45</v>
      </c>
      <c r="B238" s="163" t="s">
        <v>301</v>
      </c>
      <c r="C238" s="164" t="s">
        <v>20</v>
      </c>
      <c r="D238" s="165" t="s">
        <v>259</v>
      </c>
      <c r="E238" s="166">
        <v>45962</v>
      </c>
      <c r="F238" s="139">
        <v>250</v>
      </c>
      <c r="G238" s="144">
        <f t="shared" si="31"/>
        <v>6500</v>
      </c>
      <c r="H238" s="167">
        <v>26</v>
      </c>
      <c r="I238" s="168"/>
      <c r="J238" s="31"/>
      <c r="K238" s="31"/>
      <c r="L238" s="33">
        <v>0</v>
      </c>
      <c r="M238" s="34">
        <v>26</v>
      </c>
      <c r="N238" s="35">
        <v>0</v>
      </c>
      <c r="O238" s="36"/>
      <c r="P238" s="37">
        <f t="shared" si="41"/>
        <v>26</v>
      </c>
    </row>
    <row r="239" spans="1:16" ht="14.25" hidden="1">
      <c r="A239" s="147">
        <v>46</v>
      </c>
      <c r="B239" s="163" t="s">
        <v>302</v>
      </c>
      <c r="C239" s="164" t="s">
        <v>20</v>
      </c>
      <c r="D239" s="165" t="s">
        <v>248</v>
      </c>
      <c r="E239" s="166">
        <v>46447</v>
      </c>
      <c r="F239" s="139">
        <v>111.98</v>
      </c>
      <c r="G239" s="144">
        <f t="shared" si="31"/>
        <v>0</v>
      </c>
      <c r="H239" s="167">
        <v>0</v>
      </c>
      <c r="I239" s="168">
        <v>0</v>
      </c>
      <c r="J239" s="169"/>
      <c r="K239" s="31"/>
      <c r="L239" s="33"/>
      <c r="M239" s="34">
        <v>0</v>
      </c>
      <c r="N239" s="35"/>
      <c r="O239" s="36"/>
      <c r="P239" s="37">
        <f t="shared" si="41"/>
        <v>0</v>
      </c>
    </row>
    <row r="240" spans="1:16" ht="28.5">
      <c r="A240" s="147">
        <v>47</v>
      </c>
      <c r="B240" s="163" t="s">
        <v>303</v>
      </c>
      <c r="C240" s="164" t="s">
        <v>20</v>
      </c>
      <c r="D240" s="165" t="s">
        <v>248</v>
      </c>
      <c r="E240" s="166">
        <v>46023</v>
      </c>
      <c r="F240" s="139">
        <v>89.311000000000007</v>
      </c>
      <c r="G240" s="144">
        <f t="shared" si="31"/>
        <v>893.11000000000013</v>
      </c>
      <c r="H240" s="167">
        <v>10</v>
      </c>
      <c r="I240" s="168">
        <v>1000</v>
      </c>
      <c r="J240" s="169"/>
      <c r="K240" s="31"/>
      <c r="L240" s="33"/>
      <c r="M240" s="34">
        <v>1000</v>
      </c>
      <c r="N240" s="35"/>
      <c r="O240" s="36"/>
      <c r="P240" s="37"/>
    </row>
    <row r="241" spans="1:16" ht="28.5">
      <c r="A241" s="147">
        <v>48</v>
      </c>
      <c r="B241" s="163" t="s">
        <v>304</v>
      </c>
      <c r="C241" s="164" t="s">
        <v>20</v>
      </c>
      <c r="D241" s="165" t="s">
        <v>248</v>
      </c>
      <c r="E241" s="166">
        <v>46023</v>
      </c>
      <c r="F241" s="139">
        <v>103.31100000000001</v>
      </c>
      <c r="G241" s="144">
        <f t="shared" si="31"/>
        <v>1033.1100000000001</v>
      </c>
      <c r="H241" s="167">
        <v>10</v>
      </c>
      <c r="I241" s="168">
        <v>1000</v>
      </c>
      <c r="J241" s="169"/>
      <c r="K241" s="31"/>
      <c r="L241" s="33"/>
      <c r="M241" s="34">
        <v>1000</v>
      </c>
      <c r="N241" s="35"/>
      <c r="O241" s="36"/>
      <c r="P241" s="37"/>
    </row>
    <row r="242" spans="1:16" ht="28.5">
      <c r="A242" s="147">
        <v>49</v>
      </c>
      <c r="B242" s="163" t="s">
        <v>305</v>
      </c>
      <c r="C242" s="164" t="s">
        <v>20</v>
      </c>
      <c r="D242" s="165" t="s">
        <v>306</v>
      </c>
      <c r="E242" s="166">
        <v>46023</v>
      </c>
      <c r="F242" s="139">
        <v>59.38</v>
      </c>
      <c r="G242" s="144">
        <f t="shared" si="31"/>
        <v>296.90000000000003</v>
      </c>
      <c r="H242" s="167">
        <v>5</v>
      </c>
      <c r="I242" s="168">
        <v>210</v>
      </c>
      <c r="J242" s="169"/>
      <c r="K242" s="31"/>
      <c r="L242" s="33"/>
      <c r="M242" s="34">
        <v>210</v>
      </c>
      <c r="N242" s="35"/>
      <c r="O242" s="36"/>
      <c r="P242" s="37"/>
    </row>
    <row r="243" spans="1:16" ht="14.25">
      <c r="A243" s="147">
        <v>50</v>
      </c>
      <c r="B243" s="163" t="s">
        <v>307</v>
      </c>
      <c r="C243" s="164" t="s">
        <v>20</v>
      </c>
      <c r="D243" s="165" t="s">
        <v>248</v>
      </c>
      <c r="E243" s="166">
        <v>46419</v>
      </c>
      <c r="F243" s="139">
        <v>46.11</v>
      </c>
      <c r="G243" s="144">
        <f t="shared" si="31"/>
        <v>1152.75</v>
      </c>
      <c r="H243" s="167">
        <v>25</v>
      </c>
      <c r="I243" s="168">
        <v>2500</v>
      </c>
      <c r="J243" s="169"/>
      <c r="K243" s="31"/>
      <c r="L243" s="33">
        <f>3000-600-24*100</f>
        <v>0</v>
      </c>
      <c r="M243" s="34">
        <v>1900</v>
      </c>
      <c r="N243" s="35">
        <v>600</v>
      </c>
      <c r="O243" s="36"/>
      <c r="P243" s="37">
        <f t="shared" ref="P243:P246" si="42">L243+M243+N243</f>
        <v>2500</v>
      </c>
    </row>
    <row r="244" spans="1:16" ht="14.25">
      <c r="A244" s="147">
        <v>51</v>
      </c>
      <c r="B244" s="163" t="s">
        <v>308</v>
      </c>
      <c r="C244" s="164" t="s">
        <v>20</v>
      </c>
      <c r="D244" s="165" t="s">
        <v>251</v>
      </c>
      <c r="E244" s="166">
        <v>46447</v>
      </c>
      <c r="F244" s="139">
        <v>478.84</v>
      </c>
      <c r="G244" s="144">
        <f t="shared" si="31"/>
        <v>5267.24</v>
      </c>
      <c r="H244" s="167">
        <v>11</v>
      </c>
      <c r="I244" s="168">
        <v>11000</v>
      </c>
      <c r="J244" s="169"/>
      <c r="K244" s="31"/>
      <c r="L244" s="33">
        <f>10*1000-10000</f>
        <v>0</v>
      </c>
      <c r="M244" s="34">
        <v>11000</v>
      </c>
      <c r="N244" s="35"/>
      <c r="O244" s="36"/>
      <c r="P244" s="37">
        <f t="shared" si="42"/>
        <v>11000</v>
      </c>
    </row>
    <row r="245" spans="1:16" ht="14.25">
      <c r="A245" s="147">
        <v>52</v>
      </c>
      <c r="B245" s="163" t="s">
        <v>309</v>
      </c>
      <c r="C245" s="164" t="s">
        <v>266</v>
      </c>
      <c r="D245" s="165" t="s">
        <v>37</v>
      </c>
      <c r="E245" s="166">
        <v>46419</v>
      </c>
      <c r="F245" s="139">
        <v>140.65</v>
      </c>
      <c r="G245" s="144">
        <f t="shared" si="31"/>
        <v>140.65</v>
      </c>
      <c r="H245" s="167">
        <v>1</v>
      </c>
      <c r="I245" s="168">
        <v>10</v>
      </c>
      <c r="J245" s="170"/>
      <c r="K245" s="31"/>
      <c r="L245" s="33">
        <v>0</v>
      </c>
      <c r="M245" s="34">
        <v>10</v>
      </c>
      <c r="N245" s="35"/>
      <c r="O245" s="36"/>
      <c r="P245" s="37">
        <f t="shared" si="42"/>
        <v>10</v>
      </c>
    </row>
    <row r="246" spans="1:16" ht="28.5" hidden="1">
      <c r="A246" s="147">
        <v>53</v>
      </c>
      <c r="B246" s="163" t="s">
        <v>310</v>
      </c>
      <c r="C246" s="164" t="s">
        <v>20</v>
      </c>
      <c r="D246" s="165" t="s">
        <v>37</v>
      </c>
      <c r="E246" s="166">
        <v>45870</v>
      </c>
      <c r="F246" s="139">
        <v>132.69</v>
      </c>
      <c r="G246" s="144">
        <f t="shared" si="31"/>
        <v>0</v>
      </c>
      <c r="H246" s="167">
        <v>0</v>
      </c>
      <c r="I246" s="168">
        <v>0</v>
      </c>
      <c r="J246" s="170"/>
      <c r="K246" s="31"/>
      <c r="L246" s="33">
        <v>0</v>
      </c>
      <c r="M246" s="34">
        <v>0</v>
      </c>
      <c r="N246" s="35"/>
      <c r="O246" s="36"/>
      <c r="P246" s="37">
        <f t="shared" si="42"/>
        <v>0</v>
      </c>
    </row>
    <row r="247" spans="1:16" ht="14.25">
      <c r="A247" s="147">
        <v>54</v>
      </c>
      <c r="B247" s="163" t="s">
        <v>311</v>
      </c>
      <c r="C247" s="164" t="s">
        <v>20</v>
      </c>
      <c r="D247" s="165" t="s">
        <v>40</v>
      </c>
      <c r="E247" s="166">
        <v>46023</v>
      </c>
      <c r="F247" s="139">
        <v>23.172499999999999</v>
      </c>
      <c r="G247" s="144">
        <f t="shared" si="31"/>
        <v>92.69</v>
      </c>
      <c r="H247" s="167">
        <v>4</v>
      </c>
      <c r="I247" s="168">
        <v>80</v>
      </c>
      <c r="J247" s="169"/>
      <c r="K247" s="31"/>
      <c r="L247" s="33"/>
      <c r="M247" s="34"/>
      <c r="N247" s="35">
        <v>80</v>
      </c>
      <c r="O247" s="36"/>
      <c r="P247" s="37"/>
    </row>
    <row r="248" spans="1:16" ht="14.25">
      <c r="A248" s="147"/>
      <c r="B248" s="163" t="s">
        <v>358</v>
      </c>
      <c r="C248" s="164" t="s">
        <v>118</v>
      </c>
      <c r="D248" s="165"/>
      <c r="E248" s="166"/>
      <c r="F248" s="139">
        <v>29.43</v>
      </c>
      <c r="G248" s="247">
        <f t="shared" si="31"/>
        <v>1471.5</v>
      </c>
      <c r="H248" s="167">
        <v>50</v>
      </c>
      <c r="I248" s="168"/>
      <c r="J248" s="169"/>
      <c r="K248" s="31"/>
      <c r="L248" s="33">
        <v>50</v>
      </c>
      <c r="M248" s="34"/>
      <c r="N248" s="35"/>
      <c r="O248" s="36"/>
      <c r="P248" s="37"/>
    </row>
    <row r="249" spans="1:16" ht="28.5">
      <c r="A249" s="147"/>
      <c r="B249" s="163" t="s">
        <v>359</v>
      </c>
      <c r="C249" s="164" t="s">
        <v>118</v>
      </c>
      <c r="D249" s="165"/>
      <c r="E249" s="166"/>
      <c r="F249" s="139">
        <v>22.8</v>
      </c>
      <c r="G249" s="247">
        <f t="shared" si="31"/>
        <v>456</v>
      </c>
      <c r="H249" s="167">
        <v>20</v>
      </c>
      <c r="I249" s="168"/>
      <c r="J249" s="169"/>
      <c r="K249" s="31"/>
      <c r="L249" s="33">
        <v>20</v>
      </c>
      <c r="M249" s="34"/>
      <c r="N249" s="35"/>
      <c r="O249" s="36"/>
      <c r="P249" s="37"/>
    </row>
    <row r="250" spans="1:16" ht="14.25">
      <c r="A250" s="147">
        <v>55</v>
      </c>
      <c r="B250" s="163" t="s">
        <v>312</v>
      </c>
      <c r="C250" s="164" t="s">
        <v>20</v>
      </c>
      <c r="D250" s="165" t="s">
        <v>248</v>
      </c>
      <c r="E250" s="166">
        <v>46388</v>
      </c>
      <c r="F250" s="139">
        <v>116.91</v>
      </c>
      <c r="G250" s="144">
        <f t="shared" si="31"/>
        <v>0</v>
      </c>
      <c r="H250" s="167">
        <v>0</v>
      </c>
      <c r="I250" s="168">
        <v>0</v>
      </c>
      <c r="J250" s="169"/>
      <c r="K250" s="31"/>
      <c r="L250" s="33">
        <v>0</v>
      </c>
      <c r="M250" s="34">
        <v>0</v>
      </c>
      <c r="N250" s="35"/>
      <c r="O250" s="36"/>
      <c r="P250" s="37">
        <f t="shared" ref="P250:P253" si="43">L250+M250+N250</f>
        <v>0</v>
      </c>
    </row>
    <row r="251" spans="1:16" ht="14.25">
      <c r="A251" s="147">
        <v>56</v>
      </c>
      <c r="B251" s="163" t="s">
        <v>312</v>
      </c>
      <c r="C251" s="164" t="s">
        <v>20</v>
      </c>
      <c r="D251" s="165" t="s">
        <v>248</v>
      </c>
      <c r="E251" s="166"/>
      <c r="F251" s="139">
        <v>43</v>
      </c>
      <c r="G251" s="144">
        <f t="shared" si="31"/>
        <v>301</v>
      </c>
      <c r="H251" s="167">
        <v>7</v>
      </c>
      <c r="I251" s="168">
        <v>700</v>
      </c>
      <c r="J251" s="169"/>
      <c r="K251" s="31"/>
      <c r="L251" s="33">
        <f>1000-200-800</f>
        <v>0</v>
      </c>
      <c r="M251" s="34">
        <v>550</v>
      </c>
      <c r="N251" s="35">
        <v>150</v>
      </c>
      <c r="O251" s="36"/>
      <c r="P251" s="37">
        <f t="shared" si="43"/>
        <v>700</v>
      </c>
    </row>
    <row r="252" spans="1:16" ht="18.75" customHeight="1">
      <c r="A252" s="147">
        <v>57</v>
      </c>
      <c r="B252" s="163" t="s">
        <v>313</v>
      </c>
      <c r="C252" s="164" t="s">
        <v>20</v>
      </c>
      <c r="D252" s="165" t="s">
        <v>40</v>
      </c>
      <c r="E252" s="166">
        <v>46023</v>
      </c>
      <c r="F252" s="139">
        <v>22.48</v>
      </c>
      <c r="G252" s="144">
        <f t="shared" si="31"/>
        <v>8295.1200000000008</v>
      </c>
      <c r="H252" s="167">
        <v>369</v>
      </c>
      <c r="I252" s="168">
        <v>7380</v>
      </c>
      <c r="J252" s="169"/>
      <c r="K252" s="31"/>
      <c r="L252" s="33">
        <v>0</v>
      </c>
      <c r="M252" s="34">
        <v>6660</v>
      </c>
      <c r="N252" s="35">
        <v>720</v>
      </c>
      <c r="O252" s="36"/>
      <c r="P252" s="37">
        <f t="shared" si="43"/>
        <v>7380</v>
      </c>
    </row>
    <row r="253" spans="1:16" ht="14.25">
      <c r="A253" s="147">
        <v>58</v>
      </c>
      <c r="B253" s="163" t="s">
        <v>360</v>
      </c>
      <c r="C253" s="164" t="s">
        <v>118</v>
      </c>
      <c r="D253" s="165"/>
      <c r="E253" s="166"/>
      <c r="F253" s="139">
        <v>24.87</v>
      </c>
      <c r="G253" s="247">
        <f t="shared" si="31"/>
        <v>2487</v>
      </c>
      <c r="H253" s="167">
        <v>100</v>
      </c>
      <c r="I253" s="168"/>
      <c r="J253" s="31"/>
      <c r="K253" s="31"/>
      <c r="L253" s="33">
        <v>100</v>
      </c>
      <c r="M253" s="34">
        <v>0</v>
      </c>
      <c r="N253" s="35"/>
      <c r="O253" s="36"/>
      <c r="P253" s="37">
        <f t="shared" si="43"/>
        <v>100</v>
      </c>
    </row>
    <row r="254" spans="1:16" ht="14.25">
      <c r="A254" s="147"/>
      <c r="B254" s="163" t="s">
        <v>361</v>
      </c>
      <c r="C254" s="164" t="s">
        <v>118</v>
      </c>
      <c r="D254" s="165"/>
      <c r="E254" s="166"/>
      <c r="F254" s="139">
        <v>50.57</v>
      </c>
      <c r="G254" s="247">
        <f t="shared" si="31"/>
        <v>5057</v>
      </c>
      <c r="H254" s="167">
        <v>100</v>
      </c>
      <c r="I254" s="168"/>
      <c r="J254" s="31"/>
      <c r="K254" s="31"/>
      <c r="L254" s="33">
        <v>100</v>
      </c>
      <c r="M254" s="34"/>
      <c r="N254" s="35"/>
      <c r="O254" s="36"/>
      <c r="P254" s="37"/>
    </row>
    <row r="255" spans="1:16" ht="14.25">
      <c r="A255" s="147"/>
      <c r="B255" s="248" t="s">
        <v>362</v>
      </c>
      <c r="C255" s="164" t="s">
        <v>118</v>
      </c>
      <c r="D255" s="173"/>
      <c r="E255" s="179"/>
      <c r="F255" s="175">
        <v>34.4</v>
      </c>
      <c r="G255" s="247">
        <f t="shared" si="31"/>
        <v>1720</v>
      </c>
      <c r="H255" s="154">
        <v>50</v>
      </c>
      <c r="I255" s="159"/>
      <c r="J255" s="156"/>
      <c r="K255" s="155"/>
      <c r="L255" s="157">
        <v>50</v>
      </c>
      <c r="M255" s="176"/>
      <c r="N255" s="190"/>
      <c r="O255" s="155"/>
      <c r="P255" s="37"/>
    </row>
    <row r="256" spans="1:16" ht="14.25">
      <c r="A256" s="147"/>
      <c r="B256" s="248" t="s">
        <v>363</v>
      </c>
      <c r="C256" s="164" t="s">
        <v>118</v>
      </c>
      <c r="D256" s="173"/>
      <c r="E256" s="179"/>
      <c r="F256" s="175">
        <v>27.77</v>
      </c>
      <c r="G256" s="247">
        <f t="shared" si="31"/>
        <v>1055.26</v>
      </c>
      <c r="H256" s="154">
        <v>38</v>
      </c>
      <c r="I256" s="159"/>
      <c r="J256" s="156"/>
      <c r="K256" s="155"/>
      <c r="L256" s="157">
        <v>38</v>
      </c>
      <c r="M256" s="176"/>
      <c r="N256" s="190"/>
      <c r="O256" s="155"/>
      <c r="P256" s="37"/>
    </row>
    <row r="257" spans="1:16" ht="14.25">
      <c r="A257" s="147"/>
      <c r="B257" s="189" t="s">
        <v>316</v>
      </c>
      <c r="C257" s="172" t="s">
        <v>20</v>
      </c>
      <c r="D257" s="173" t="s">
        <v>37</v>
      </c>
      <c r="E257" s="179"/>
      <c r="F257" s="175">
        <v>600</v>
      </c>
      <c r="G257" s="144">
        <f t="shared" si="31"/>
        <v>227400</v>
      </c>
      <c r="H257" s="154">
        <v>379</v>
      </c>
      <c r="I257" s="159"/>
      <c r="J257" s="156"/>
      <c r="K257" s="155"/>
      <c r="L257" s="157"/>
      <c r="M257" s="176">
        <v>379</v>
      </c>
      <c r="N257" s="190"/>
      <c r="O257" s="155"/>
      <c r="P257" s="37"/>
    </row>
    <row r="258" spans="1:16" ht="15">
      <c r="A258" s="147"/>
      <c r="B258" s="191" t="s">
        <v>364</v>
      </c>
      <c r="C258" s="164" t="s">
        <v>118</v>
      </c>
      <c r="D258" s="173"/>
      <c r="E258" s="179"/>
      <c r="F258" s="192">
        <v>16.54</v>
      </c>
      <c r="G258" s="247">
        <f t="shared" si="31"/>
        <v>49.62</v>
      </c>
      <c r="H258" s="154">
        <v>3</v>
      </c>
      <c r="I258" s="159"/>
      <c r="J258" s="156"/>
      <c r="K258" s="155"/>
      <c r="L258" s="157">
        <v>3</v>
      </c>
      <c r="M258" s="176"/>
      <c r="N258" s="190"/>
      <c r="O258" s="155"/>
      <c r="P258" s="37"/>
    </row>
    <row r="259" spans="1:16" ht="30">
      <c r="A259" s="147">
        <v>59</v>
      </c>
      <c r="B259" s="191" t="s">
        <v>317</v>
      </c>
      <c r="C259" s="172" t="s">
        <v>20</v>
      </c>
      <c r="D259" s="173" t="s">
        <v>318</v>
      </c>
      <c r="E259" s="179">
        <v>46023</v>
      </c>
      <c r="F259" s="192">
        <v>244.75899999999999</v>
      </c>
      <c r="G259" s="144">
        <f t="shared" si="31"/>
        <v>2447.5899999999997</v>
      </c>
      <c r="H259" s="154">
        <v>10</v>
      </c>
      <c r="I259" s="159">
        <v>560</v>
      </c>
      <c r="J259" s="156"/>
      <c r="K259" s="155"/>
      <c r="L259" s="157"/>
      <c r="M259" s="176">
        <v>560</v>
      </c>
      <c r="N259" s="190"/>
      <c r="O259" s="155"/>
      <c r="P259" s="37"/>
    </row>
    <row r="260" spans="1:16" ht="15">
      <c r="A260" s="147">
        <v>6</v>
      </c>
      <c r="B260" s="191" t="s">
        <v>319</v>
      </c>
      <c r="C260" s="172" t="s">
        <v>20</v>
      </c>
      <c r="D260" s="173" t="s">
        <v>251</v>
      </c>
      <c r="E260" s="179">
        <v>46844</v>
      </c>
      <c r="F260" s="192">
        <v>1648.41</v>
      </c>
      <c r="G260" s="144">
        <f t="shared" si="31"/>
        <v>9890.4600000000009</v>
      </c>
      <c r="H260" s="154">
        <v>6</v>
      </c>
      <c r="I260" s="159">
        <v>5560</v>
      </c>
      <c r="J260" s="156"/>
      <c r="K260" s="155"/>
      <c r="L260" s="157">
        <f>4*1000-4000</f>
        <v>0</v>
      </c>
      <c r="M260" s="176">
        <v>5560</v>
      </c>
      <c r="N260" s="190"/>
      <c r="O260" s="155"/>
      <c r="P260" s="37">
        <f t="shared" ref="P260:P261" si="44">L260+M260+N260</f>
        <v>5560</v>
      </c>
    </row>
    <row r="261" spans="1:16" ht="15">
      <c r="A261" s="147">
        <v>61</v>
      </c>
      <c r="B261" s="191" t="s">
        <v>320</v>
      </c>
      <c r="C261" s="172" t="s">
        <v>266</v>
      </c>
      <c r="D261" s="173" t="s">
        <v>231</v>
      </c>
      <c r="E261" s="179">
        <v>46508</v>
      </c>
      <c r="F261" s="175">
        <v>715.8</v>
      </c>
      <c r="G261" s="144">
        <f t="shared" si="31"/>
        <v>5010.5999999999995</v>
      </c>
      <c r="H261" s="154">
        <v>7</v>
      </c>
      <c r="I261" s="159">
        <v>116</v>
      </c>
      <c r="J261" s="156"/>
      <c r="K261" s="155"/>
      <c r="L261" s="157">
        <f>125-5*25</f>
        <v>0</v>
      </c>
      <c r="M261" s="176">
        <v>116</v>
      </c>
      <c r="N261" s="190"/>
      <c r="O261" s="155"/>
      <c r="P261" s="37">
        <f t="shared" si="44"/>
        <v>116</v>
      </c>
    </row>
    <row r="262" spans="1:16" ht="14.25">
      <c r="A262" s="147"/>
      <c r="B262" s="188" t="s">
        <v>321</v>
      </c>
      <c r="C262" s="172" t="s">
        <v>20</v>
      </c>
      <c r="D262" s="173" t="s">
        <v>241</v>
      </c>
      <c r="E262" s="179"/>
      <c r="F262" s="175">
        <v>20</v>
      </c>
      <c r="G262" s="144">
        <f t="shared" si="31"/>
        <v>6000</v>
      </c>
      <c r="H262" s="154">
        <v>300</v>
      </c>
      <c r="I262" s="159">
        <v>9000</v>
      </c>
      <c r="J262" s="156"/>
      <c r="K262" s="155"/>
      <c r="L262" s="157">
        <v>9000</v>
      </c>
      <c r="M262" s="176"/>
      <c r="N262" s="190"/>
      <c r="O262" s="155"/>
      <c r="P262" s="37"/>
    </row>
    <row r="263" spans="1:16" ht="14.25">
      <c r="A263" s="147"/>
      <c r="B263" s="188" t="s">
        <v>322</v>
      </c>
      <c r="C263" s="172" t="s">
        <v>20</v>
      </c>
      <c r="D263" s="173" t="s">
        <v>37</v>
      </c>
      <c r="E263" s="179"/>
      <c r="F263" s="175">
        <v>80</v>
      </c>
      <c r="G263" s="144">
        <f t="shared" si="31"/>
        <v>24000</v>
      </c>
      <c r="H263" s="154">
        <v>300</v>
      </c>
      <c r="I263" s="159">
        <v>3000</v>
      </c>
      <c r="J263" s="156"/>
      <c r="K263" s="155"/>
      <c r="L263" s="157">
        <v>3000</v>
      </c>
      <c r="M263" s="176"/>
      <c r="N263" s="190"/>
      <c r="O263" s="155"/>
      <c r="P263" s="37"/>
    </row>
    <row r="264" spans="1:16" ht="15">
      <c r="A264" s="147">
        <v>62</v>
      </c>
      <c r="B264" s="191" t="s">
        <v>323</v>
      </c>
      <c r="C264" s="172" t="s">
        <v>20</v>
      </c>
      <c r="D264" s="173" t="s">
        <v>248</v>
      </c>
      <c r="E264" s="179">
        <v>46023</v>
      </c>
      <c r="F264" s="192">
        <v>48.759</v>
      </c>
      <c r="G264" s="144">
        <f t="shared" si="31"/>
        <v>487.59000000000003</v>
      </c>
      <c r="H264" s="154">
        <v>10</v>
      </c>
      <c r="I264" s="159">
        <v>1000</v>
      </c>
      <c r="J264" s="156"/>
      <c r="K264" s="155"/>
      <c r="L264" s="157"/>
      <c r="M264" s="176">
        <v>1000</v>
      </c>
      <c r="N264" s="190"/>
      <c r="O264" s="155"/>
      <c r="P264" s="37"/>
    </row>
    <row r="265" spans="1:16" ht="30">
      <c r="A265" s="147">
        <v>63</v>
      </c>
      <c r="B265" s="191" t="s">
        <v>324</v>
      </c>
      <c r="C265" s="172" t="s">
        <v>20</v>
      </c>
      <c r="D265" s="173" t="s">
        <v>37</v>
      </c>
      <c r="E265" s="179">
        <v>46266</v>
      </c>
      <c r="F265" s="192">
        <v>430.92</v>
      </c>
      <c r="G265" s="144">
        <f t="shared" si="31"/>
        <v>861.84</v>
      </c>
      <c r="H265" s="154">
        <v>2</v>
      </c>
      <c r="I265" s="159">
        <v>15</v>
      </c>
      <c r="J265" s="156"/>
      <c r="K265" s="155"/>
      <c r="L265" s="157">
        <v>0</v>
      </c>
      <c r="M265" s="176">
        <v>15</v>
      </c>
      <c r="N265" s="190"/>
      <c r="O265" s="155"/>
      <c r="P265" s="37">
        <f t="shared" ref="P265:P288" si="45">L265+M265+N265</f>
        <v>15</v>
      </c>
    </row>
    <row r="266" spans="1:16" ht="15" hidden="1">
      <c r="A266" s="147">
        <v>64</v>
      </c>
      <c r="B266" s="160" t="s">
        <v>325</v>
      </c>
      <c r="C266" s="149" t="s">
        <v>326</v>
      </c>
      <c r="D266" s="183"/>
      <c r="E266" s="150"/>
      <c r="F266" s="161">
        <v>7.36</v>
      </c>
      <c r="G266" s="153">
        <f t="shared" si="31"/>
        <v>0</v>
      </c>
      <c r="H266" s="162">
        <v>0</v>
      </c>
      <c r="I266" s="155"/>
      <c r="J266" s="155"/>
      <c r="K266" s="155"/>
      <c r="L266" s="157">
        <v>0</v>
      </c>
      <c r="M266" s="176">
        <v>0</v>
      </c>
      <c r="N266" s="190"/>
      <c r="O266" s="155"/>
      <c r="P266" s="37">
        <f t="shared" si="45"/>
        <v>0</v>
      </c>
    </row>
    <row r="267" spans="1:16" ht="45" hidden="1">
      <c r="A267" s="147">
        <v>65</v>
      </c>
      <c r="B267" s="177" t="s">
        <v>327</v>
      </c>
      <c r="C267" s="149" t="s">
        <v>20</v>
      </c>
      <c r="D267" s="183"/>
      <c r="E267" s="150"/>
      <c r="F267" s="152">
        <v>500</v>
      </c>
      <c r="G267" s="153">
        <f t="shared" si="31"/>
        <v>0</v>
      </c>
      <c r="H267" s="162">
        <v>0</v>
      </c>
      <c r="I267" s="155"/>
      <c r="J267" s="155"/>
      <c r="K267" s="155"/>
      <c r="L267" s="157">
        <v>0</v>
      </c>
      <c r="M267" s="176">
        <v>0</v>
      </c>
      <c r="N267" s="190"/>
      <c r="O267" s="155"/>
      <c r="P267" s="37">
        <f t="shared" si="45"/>
        <v>0</v>
      </c>
    </row>
    <row r="268" spans="1:16" ht="45">
      <c r="A268" s="147">
        <v>66</v>
      </c>
      <c r="B268" s="177" t="s">
        <v>328</v>
      </c>
      <c r="C268" s="149" t="s">
        <v>20</v>
      </c>
      <c r="D268" s="183"/>
      <c r="E268" s="150"/>
      <c r="F268" s="152">
        <v>300</v>
      </c>
      <c r="G268" s="153">
        <f t="shared" si="31"/>
        <v>27000</v>
      </c>
      <c r="H268" s="162">
        <v>90</v>
      </c>
      <c r="I268" s="155"/>
      <c r="J268" s="155"/>
      <c r="K268" s="155"/>
      <c r="L268" s="157">
        <v>0</v>
      </c>
      <c r="M268" s="176">
        <v>90</v>
      </c>
      <c r="N268" s="190"/>
      <c r="O268" s="155"/>
      <c r="P268" s="37">
        <f t="shared" si="45"/>
        <v>90</v>
      </c>
    </row>
    <row r="269" spans="1:16" ht="45">
      <c r="A269" s="147">
        <v>67</v>
      </c>
      <c r="B269" s="177" t="s">
        <v>329</v>
      </c>
      <c r="C269" s="149" t="s">
        <v>20</v>
      </c>
      <c r="D269" s="183"/>
      <c r="E269" s="182">
        <v>45962</v>
      </c>
      <c r="F269" s="152">
        <v>300</v>
      </c>
      <c r="G269" s="153">
        <f t="shared" si="31"/>
        <v>0</v>
      </c>
      <c r="H269" s="162">
        <v>0</v>
      </c>
      <c r="I269" s="155"/>
      <c r="J269" s="155"/>
      <c r="K269" s="155"/>
      <c r="L269" s="157">
        <v>0</v>
      </c>
      <c r="M269" s="176">
        <v>0</v>
      </c>
      <c r="N269" s="190"/>
      <c r="O269" s="155"/>
      <c r="P269" s="37">
        <f t="shared" si="45"/>
        <v>0</v>
      </c>
    </row>
    <row r="270" spans="1:16" ht="14.25">
      <c r="A270" s="147">
        <v>70</v>
      </c>
      <c r="B270" s="163" t="s">
        <v>330</v>
      </c>
      <c r="C270" s="164" t="s">
        <v>20</v>
      </c>
      <c r="D270" s="165" t="s">
        <v>248</v>
      </c>
      <c r="E270" s="166">
        <v>46023</v>
      </c>
      <c r="F270" s="139">
        <v>831.3</v>
      </c>
      <c r="G270" s="144">
        <f t="shared" si="31"/>
        <v>831.3</v>
      </c>
      <c r="H270" s="167">
        <v>1</v>
      </c>
      <c r="I270" s="168">
        <v>100</v>
      </c>
      <c r="J270" s="31"/>
      <c r="K270" s="31"/>
      <c r="L270" s="33">
        <v>0</v>
      </c>
      <c r="M270" s="34">
        <v>100</v>
      </c>
      <c r="N270" s="193"/>
      <c r="O270" s="36"/>
      <c r="P270" s="37">
        <f t="shared" si="45"/>
        <v>100</v>
      </c>
    </row>
    <row r="271" spans="1:16" ht="15">
      <c r="A271" s="147">
        <v>71</v>
      </c>
      <c r="B271" s="163" t="s">
        <v>330</v>
      </c>
      <c r="C271" s="164" t="s">
        <v>20</v>
      </c>
      <c r="D271" s="165" t="s">
        <v>248</v>
      </c>
      <c r="E271" s="194">
        <v>46023</v>
      </c>
      <c r="F271" s="195">
        <v>831.37</v>
      </c>
      <c r="G271" s="144">
        <f t="shared" si="31"/>
        <v>2494.11</v>
      </c>
      <c r="H271" s="196">
        <v>3</v>
      </c>
      <c r="I271" s="197">
        <v>300</v>
      </c>
      <c r="J271" s="156"/>
      <c r="K271" s="155"/>
      <c r="L271" s="157">
        <f>300-300</f>
        <v>0</v>
      </c>
      <c r="M271" s="176">
        <v>300</v>
      </c>
      <c r="N271" s="198">
        <v>0</v>
      </c>
      <c r="O271" s="155"/>
      <c r="P271" s="37">
        <f t="shared" si="45"/>
        <v>300</v>
      </c>
    </row>
    <row r="272" spans="1:16" ht="15">
      <c r="A272" s="147">
        <v>72</v>
      </c>
      <c r="B272" s="199" t="s">
        <v>331</v>
      </c>
      <c r="C272" s="164" t="s">
        <v>20</v>
      </c>
      <c r="D272" s="165" t="s">
        <v>248</v>
      </c>
      <c r="E272" s="194"/>
      <c r="F272" s="195">
        <v>637.64</v>
      </c>
      <c r="G272" s="144">
        <f t="shared" si="31"/>
        <v>63764</v>
      </c>
      <c r="H272" s="196">
        <v>100</v>
      </c>
      <c r="I272" s="197">
        <v>10000</v>
      </c>
      <c r="J272" s="156"/>
      <c r="K272" s="155"/>
      <c r="L272" s="157"/>
      <c r="M272" s="176">
        <v>10000</v>
      </c>
      <c r="N272" s="198"/>
      <c r="O272" s="155"/>
      <c r="P272" s="37">
        <f t="shared" si="45"/>
        <v>10000</v>
      </c>
    </row>
    <row r="273" spans="1:16" ht="15">
      <c r="A273" s="147">
        <v>74</v>
      </c>
      <c r="B273" s="199" t="s">
        <v>332</v>
      </c>
      <c r="C273" s="164" t="s">
        <v>20</v>
      </c>
      <c r="D273" s="165" t="s">
        <v>248</v>
      </c>
      <c r="E273" s="194">
        <v>46143</v>
      </c>
      <c r="F273" s="195">
        <v>164.84</v>
      </c>
      <c r="G273" s="144">
        <f t="shared" si="31"/>
        <v>494.52</v>
      </c>
      <c r="H273" s="196">
        <v>3</v>
      </c>
      <c r="I273" s="197">
        <v>230</v>
      </c>
      <c r="J273" s="156"/>
      <c r="K273" s="155"/>
      <c r="L273" s="157">
        <f>200-200</f>
        <v>0</v>
      </c>
      <c r="M273" s="176">
        <v>230</v>
      </c>
      <c r="N273" s="198"/>
      <c r="O273" s="155"/>
      <c r="P273" s="37">
        <f t="shared" si="45"/>
        <v>230</v>
      </c>
    </row>
    <row r="274" spans="1:16" ht="30">
      <c r="A274" s="147">
        <v>75</v>
      </c>
      <c r="B274" s="199" t="s">
        <v>333</v>
      </c>
      <c r="C274" s="164" t="s">
        <v>118</v>
      </c>
      <c r="D274" s="165"/>
      <c r="E274" s="194">
        <v>46388</v>
      </c>
      <c r="F274" s="195">
        <v>82.440399999999997</v>
      </c>
      <c r="G274" s="144">
        <f t="shared" si="31"/>
        <v>0</v>
      </c>
      <c r="H274" s="196">
        <v>0</v>
      </c>
      <c r="I274" s="200"/>
      <c r="J274" s="200"/>
      <c r="K274" s="155"/>
      <c r="L274" s="157"/>
      <c r="M274" s="176">
        <v>0</v>
      </c>
      <c r="N274" s="198">
        <v>0</v>
      </c>
      <c r="O274" s="155"/>
      <c r="P274" s="37">
        <f t="shared" si="45"/>
        <v>0</v>
      </c>
    </row>
    <row r="275" spans="1:16" ht="14.25">
      <c r="A275" s="147">
        <v>77</v>
      </c>
      <c r="B275" s="163" t="s">
        <v>334</v>
      </c>
      <c r="C275" s="164" t="s">
        <v>157</v>
      </c>
      <c r="D275" s="165" t="s">
        <v>335</v>
      </c>
      <c r="E275" s="165" t="s">
        <v>336</v>
      </c>
      <c r="F275" s="139">
        <v>1</v>
      </c>
      <c r="G275" s="153">
        <f t="shared" si="31"/>
        <v>960</v>
      </c>
      <c r="H275" s="167">
        <v>960</v>
      </c>
      <c r="I275" s="168"/>
      <c r="J275" s="31"/>
      <c r="K275" s="31"/>
      <c r="L275" s="33">
        <f>1000-200</f>
        <v>800</v>
      </c>
      <c r="M275" s="34">
        <v>160</v>
      </c>
      <c r="N275" s="193"/>
      <c r="O275" s="36"/>
      <c r="P275" s="37">
        <f t="shared" si="45"/>
        <v>960</v>
      </c>
    </row>
    <row r="276" spans="1:16" ht="42.75">
      <c r="A276" s="147">
        <v>78</v>
      </c>
      <c r="B276" s="201" t="s">
        <v>337</v>
      </c>
      <c r="C276" s="202" t="s">
        <v>118</v>
      </c>
      <c r="D276" s="203"/>
      <c r="E276" s="166">
        <v>46844</v>
      </c>
      <c r="F276" s="139">
        <v>21.67</v>
      </c>
      <c r="G276" s="204">
        <f t="shared" ref="G276:G278" si="46">F276*H276</f>
        <v>96648.200000000012</v>
      </c>
      <c r="H276" s="167">
        <v>4460</v>
      </c>
      <c r="I276" s="168"/>
      <c r="J276" s="31"/>
      <c r="K276" s="31"/>
      <c r="L276" s="33">
        <f>4500-500</f>
        <v>4000</v>
      </c>
      <c r="M276" s="34">
        <v>260</v>
      </c>
      <c r="N276" s="193">
        <v>200</v>
      </c>
      <c r="O276" s="36"/>
      <c r="P276" s="37">
        <f t="shared" si="45"/>
        <v>4460</v>
      </c>
    </row>
    <row r="277" spans="1:16" ht="25.5">
      <c r="A277" s="147">
        <v>79</v>
      </c>
      <c r="B277" s="205" t="s">
        <v>338</v>
      </c>
      <c r="C277" s="202" t="s">
        <v>118</v>
      </c>
      <c r="D277" s="203"/>
      <c r="E277" s="166"/>
      <c r="F277" s="139">
        <v>26.35</v>
      </c>
      <c r="G277" s="204">
        <f t="shared" si="46"/>
        <v>52.7</v>
      </c>
      <c r="H277" s="167">
        <v>2</v>
      </c>
      <c r="I277" s="168"/>
      <c r="J277" s="31"/>
      <c r="K277" s="31"/>
      <c r="L277" s="33">
        <v>0</v>
      </c>
      <c r="M277" s="34">
        <v>0</v>
      </c>
      <c r="N277" s="193">
        <v>2</v>
      </c>
      <c r="O277" s="36"/>
      <c r="P277" s="37">
        <f t="shared" si="45"/>
        <v>2</v>
      </c>
    </row>
    <row r="278" spans="1:16" ht="28.5">
      <c r="A278" s="147">
        <v>80</v>
      </c>
      <c r="B278" s="206" t="s">
        <v>339</v>
      </c>
      <c r="C278" s="202" t="s">
        <v>118</v>
      </c>
      <c r="D278" s="203"/>
      <c r="E278" s="166">
        <v>46327</v>
      </c>
      <c r="F278" s="139">
        <v>2</v>
      </c>
      <c r="G278" s="204">
        <f t="shared" si="46"/>
        <v>1000</v>
      </c>
      <c r="H278" s="167">
        <v>500</v>
      </c>
      <c r="I278" s="207"/>
      <c r="J278" s="47"/>
      <c r="K278" s="31"/>
      <c r="L278" s="33">
        <v>0</v>
      </c>
      <c r="M278" s="34">
        <v>400</v>
      </c>
      <c r="N278" s="193">
        <v>100</v>
      </c>
      <c r="O278" s="36"/>
      <c r="P278" s="37">
        <f t="shared" si="45"/>
        <v>500</v>
      </c>
    </row>
    <row r="279" spans="1:16" ht="28.5">
      <c r="A279" s="147">
        <v>81</v>
      </c>
      <c r="B279" s="206" t="s">
        <v>340</v>
      </c>
      <c r="C279" s="202" t="s">
        <v>118</v>
      </c>
      <c r="D279" s="203"/>
      <c r="E279" s="166">
        <v>46023</v>
      </c>
      <c r="F279" s="208">
        <v>5.27</v>
      </c>
      <c r="G279" s="144">
        <f t="shared" ref="G279:G286" si="47">H279*F279</f>
        <v>105.39999999999999</v>
      </c>
      <c r="H279" s="167">
        <v>20</v>
      </c>
      <c r="I279" s="207"/>
      <c r="J279" s="47"/>
      <c r="K279" s="31"/>
      <c r="L279" s="33">
        <f>20-20</f>
        <v>0</v>
      </c>
      <c r="M279" s="34">
        <v>20</v>
      </c>
      <c r="N279" s="193">
        <v>0</v>
      </c>
      <c r="O279" s="36"/>
      <c r="P279" s="37">
        <f t="shared" si="45"/>
        <v>20</v>
      </c>
    </row>
    <row r="280" spans="1:16" ht="28.5">
      <c r="A280" s="147">
        <v>82</v>
      </c>
      <c r="B280" s="163" t="s">
        <v>341</v>
      </c>
      <c r="C280" s="164" t="s">
        <v>118</v>
      </c>
      <c r="D280" s="165"/>
      <c r="E280" s="209">
        <v>45992</v>
      </c>
      <c r="F280" s="139">
        <v>5</v>
      </c>
      <c r="G280" s="144">
        <f t="shared" si="47"/>
        <v>2795</v>
      </c>
      <c r="H280" s="167">
        <v>559</v>
      </c>
      <c r="I280" s="168"/>
      <c r="J280" s="31"/>
      <c r="K280" s="31"/>
      <c r="L280" s="33">
        <f>559-100-400</f>
        <v>59</v>
      </c>
      <c r="M280" s="34">
        <v>400</v>
      </c>
      <c r="N280" s="193">
        <v>100</v>
      </c>
      <c r="O280" s="36"/>
      <c r="P280" s="37">
        <f t="shared" si="45"/>
        <v>559</v>
      </c>
    </row>
    <row r="281" spans="1:16" ht="14.25">
      <c r="A281" s="147">
        <v>83</v>
      </c>
      <c r="B281" s="163" t="s">
        <v>342</v>
      </c>
      <c r="C281" s="164" t="s">
        <v>343</v>
      </c>
      <c r="D281" s="165" t="s">
        <v>248</v>
      </c>
      <c r="E281" s="165" t="s">
        <v>336</v>
      </c>
      <c r="F281" s="139">
        <v>1.5</v>
      </c>
      <c r="G281" s="144">
        <f t="shared" si="47"/>
        <v>1050</v>
      </c>
      <c r="H281" s="167">
        <v>700</v>
      </c>
      <c r="I281" s="168"/>
      <c r="J281" s="31"/>
      <c r="K281" s="31"/>
      <c r="L281" s="33">
        <v>700</v>
      </c>
      <c r="M281" s="34"/>
      <c r="N281" s="193"/>
      <c r="O281" s="36"/>
      <c r="P281" s="37">
        <f t="shared" si="45"/>
        <v>700</v>
      </c>
    </row>
    <row r="282" spans="1:16" ht="26.25">
      <c r="A282" s="147">
        <v>84</v>
      </c>
      <c r="B282" s="210" t="s">
        <v>344</v>
      </c>
      <c r="C282" s="211" t="s">
        <v>118</v>
      </c>
      <c r="D282" s="212"/>
      <c r="E282" s="213" t="s">
        <v>345</v>
      </c>
      <c r="F282" s="211">
        <v>100</v>
      </c>
      <c r="G282" s="153">
        <f t="shared" si="47"/>
        <v>142400</v>
      </c>
      <c r="H282" s="211">
        <v>1424</v>
      </c>
      <c r="I282" s="214"/>
      <c r="J282" s="215"/>
      <c r="K282" s="216"/>
      <c r="L282" s="217">
        <f>1857-324-324-180</f>
        <v>1029</v>
      </c>
      <c r="M282" s="218">
        <v>185</v>
      </c>
      <c r="N282" s="219">
        <v>210</v>
      </c>
      <c r="O282" s="216"/>
      <c r="P282" s="37">
        <f t="shared" si="45"/>
        <v>1424</v>
      </c>
    </row>
    <row r="283" spans="1:16" ht="28.5">
      <c r="A283" s="147">
        <v>85</v>
      </c>
      <c r="B283" s="163" t="s">
        <v>346</v>
      </c>
      <c r="C283" s="164" t="s">
        <v>118</v>
      </c>
      <c r="D283" s="165"/>
      <c r="E283" s="166"/>
      <c r="F283" s="139">
        <v>61</v>
      </c>
      <c r="G283" s="144">
        <f t="shared" si="47"/>
        <v>915</v>
      </c>
      <c r="H283" s="167">
        <v>15</v>
      </c>
      <c r="I283" s="168"/>
      <c r="J283" s="31"/>
      <c r="K283" s="31"/>
      <c r="L283" s="33"/>
      <c r="M283" s="34"/>
      <c r="N283" s="193"/>
      <c r="P283" s="37">
        <f t="shared" si="45"/>
        <v>0</v>
      </c>
    </row>
    <row r="284" spans="1:16" ht="14.25">
      <c r="A284" s="147">
        <v>86</v>
      </c>
      <c r="B284" s="163" t="s">
        <v>347</v>
      </c>
      <c r="C284" s="164" t="s">
        <v>118</v>
      </c>
      <c r="D284" s="165"/>
      <c r="E284" s="166"/>
      <c r="F284" s="139">
        <v>87</v>
      </c>
      <c r="G284" s="144">
        <f t="shared" si="47"/>
        <v>261</v>
      </c>
      <c r="H284" s="167">
        <v>3</v>
      </c>
      <c r="I284" s="168"/>
      <c r="J284" s="31"/>
      <c r="K284" s="31"/>
      <c r="L284" s="33"/>
      <c r="M284" s="34">
        <v>8</v>
      </c>
      <c r="N284" s="193"/>
      <c r="O284" s="36"/>
      <c r="P284" s="37">
        <f t="shared" si="45"/>
        <v>8</v>
      </c>
    </row>
    <row r="285" spans="1:16" ht="42.75">
      <c r="A285" s="147">
        <v>87</v>
      </c>
      <c r="B285" s="163" t="s">
        <v>348</v>
      </c>
      <c r="C285" s="164" t="s">
        <v>20</v>
      </c>
      <c r="D285" s="165" t="s">
        <v>349</v>
      </c>
      <c r="E285" s="166"/>
      <c r="F285" s="139">
        <v>72.62</v>
      </c>
      <c r="G285" s="144">
        <f t="shared" si="47"/>
        <v>72.62</v>
      </c>
      <c r="H285" s="167">
        <v>1</v>
      </c>
      <c r="I285" s="168">
        <v>400</v>
      </c>
      <c r="J285" s="31"/>
      <c r="K285" s="31"/>
      <c r="L285" s="33">
        <f>500-100</f>
        <v>400</v>
      </c>
      <c r="M285" s="34">
        <v>0</v>
      </c>
      <c r="N285" s="193">
        <v>0</v>
      </c>
      <c r="O285" s="36"/>
      <c r="P285" s="37">
        <f t="shared" si="45"/>
        <v>400</v>
      </c>
    </row>
    <row r="286" spans="1:16" ht="28.5">
      <c r="A286" s="147">
        <v>88</v>
      </c>
      <c r="B286" s="201" t="s">
        <v>350</v>
      </c>
      <c r="C286" s="202" t="s">
        <v>20</v>
      </c>
      <c r="D286" s="220" t="s">
        <v>248</v>
      </c>
      <c r="E286" s="166">
        <v>46692</v>
      </c>
      <c r="F286" s="139">
        <v>202.71</v>
      </c>
      <c r="G286" s="144">
        <f t="shared" si="47"/>
        <v>608.13</v>
      </c>
      <c r="H286" s="167">
        <v>3</v>
      </c>
      <c r="I286" s="168">
        <v>300</v>
      </c>
      <c r="J286" s="31"/>
      <c r="K286" s="31"/>
      <c r="L286" s="33">
        <f>300</f>
        <v>300</v>
      </c>
      <c r="M286" s="34">
        <v>0</v>
      </c>
      <c r="N286" s="193">
        <v>0</v>
      </c>
      <c r="O286" s="36"/>
      <c r="P286" s="37">
        <f t="shared" si="45"/>
        <v>300</v>
      </c>
    </row>
    <row r="287" spans="1:16" ht="28.5">
      <c r="A287" s="147">
        <v>89</v>
      </c>
      <c r="B287" s="201" t="s">
        <v>350</v>
      </c>
      <c r="C287" s="202" t="s">
        <v>20</v>
      </c>
      <c r="D287" s="220"/>
      <c r="E287" s="166">
        <v>46692</v>
      </c>
      <c r="F287" s="139">
        <v>190.5</v>
      </c>
      <c r="G287" s="204">
        <f t="shared" ref="G287:G288" si="48">F287*H287</f>
        <v>571.5</v>
      </c>
      <c r="H287" s="167">
        <v>3</v>
      </c>
      <c r="I287" s="168">
        <v>242</v>
      </c>
      <c r="J287" s="31"/>
      <c r="K287" s="31"/>
      <c r="L287" s="33">
        <v>0</v>
      </c>
      <c r="M287" s="34">
        <v>242</v>
      </c>
      <c r="N287" s="193">
        <v>0</v>
      </c>
      <c r="O287" s="36"/>
      <c r="P287" s="37">
        <f t="shared" si="45"/>
        <v>242</v>
      </c>
    </row>
    <row r="288" spans="1:16" ht="28.5">
      <c r="A288" s="221"/>
      <c r="B288" s="143" t="s">
        <v>351</v>
      </c>
      <c r="C288" s="222" t="s">
        <v>118</v>
      </c>
      <c r="D288" s="223"/>
      <c r="E288" s="224"/>
      <c r="F288" s="225">
        <v>178.06</v>
      </c>
      <c r="G288" s="204">
        <f t="shared" si="48"/>
        <v>2670.9</v>
      </c>
      <c r="H288" s="225">
        <v>15</v>
      </c>
      <c r="I288" s="207"/>
      <c r="J288" s="47"/>
      <c r="K288" s="31"/>
      <c r="L288" s="33"/>
      <c r="M288" s="34">
        <v>9</v>
      </c>
      <c r="N288" s="35">
        <v>6</v>
      </c>
      <c r="O288" s="36"/>
      <c r="P288" s="37">
        <f t="shared" si="45"/>
        <v>15</v>
      </c>
    </row>
    <row r="289" spans="1:16" ht="12.75">
      <c r="A289" s="226"/>
      <c r="P289" s="227"/>
    </row>
    <row r="290" spans="1:16" ht="16.5" customHeight="1">
      <c r="A290" s="228"/>
      <c r="P290" s="227"/>
    </row>
    <row r="291" spans="1:16" ht="12.75">
      <c r="A291" s="228"/>
      <c r="M291" s="159">
        <v>0</v>
      </c>
      <c r="N291" s="159">
        <v>0</v>
      </c>
      <c r="O291" s="155"/>
      <c r="P291" s="227">
        <f>L291+M291+N291</f>
        <v>0</v>
      </c>
    </row>
    <row r="292" spans="1:16" ht="15">
      <c r="A292" s="228"/>
      <c r="B292" s="229"/>
      <c r="C292" s="230"/>
      <c r="D292" s="231"/>
      <c r="E292" s="231"/>
      <c r="F292" s="232"/>
      <c r="G292" s="233"/>
      <c r="H292" s="234"/>
      <c r="I292" s="155"/>
      <c r="J292" s="155"/>
      <c r="K292" s="155"/>
      <c r="L292" s="159"/>
      <c r="M292" s="159"/>
      <c r="N292" s="155"/>
      <c r="O292" s="155"/>
      <c r="P292" s="227"/>
    </row>
    <row r="293" spans="1:16" ht="15">
      <c r="A293" s="228"/>
      <c r="B293" s="229"/>
      <c r="C293" s="230"/>
      <c r="D293" s="231"/>
      <c r="E293" s="231"/>
      <c r="F293" s="232"/>
      <c r="G293" s="233"/>
      <c r="H293" s="234"/>
      <c r="I293" s="155"/>
      <c r="J293" s="155"/>
      <c r="K293" s="155"/>
      <c r="L293" s="159"/>
      <c r="M293" s="159"/>
      <c r="N293" s="155"/>
      <c r="O293" s="155"/>
      <c r="P293" s="227"/>
    </row>
    <row r="294" spans="1:16" ht="15">
      <c r="A294" s="228"/>
      <c r="B294" s="229"/>
      <c r="C294" s="230"/>
      <c r="D294" s="231"/>
      <c r="E294" s="231"/>
      <c r="F294" s="232"/>
      <c r="G294" s="233"/>
      <c r="H294" s="234"/>
      <c r="I294" s="155"/>
      <c r="J294" s="155"/>
      <c r="K294" s="155"/>
      <c r="L294" s="159"/>
      <c r="M294" s="159"/>
      <c r="N294" s="155"/>
      <c r="O294" s="155"/>
      <c r="P294" s="227"/>
    </row>
    <row r="295" spans="1:16" ht="12.75">
      <c r="A295" s="228"/>
      <c r="N295" s="155"/>
      <c r="O295" s="155"/>
      <c r="P295" s="155"/>
    </row>
    <row r="296" spans="1:16" ht="12.75">
      <c r="A296" s="228"/>
      <c r="O296" s="155"/>
      <c r="P296" s="155"/>
    </row>
    <row r="297" spans="1:16" ht="12.75">
      <c r="A297" s="235"/>
      <c r="B297" s="236"/>
      <c r="C297" s="231"/>
      <c r="D297" s="231"/>
      <c r="E297" s="231"/>
      <c r="F297" s="231"/>
      <c r="G297" s="231"/>
      <c r="H297" s="237"/>
      <c r="I297" s="155"/>
      <c r="J297" s="155"/>
      <c r="K297" s="155"/>
      <c r="L297" s="155"/>
      <c r="M297" s="155"/>
      <c r="N297" s="155"/>
      <c r="O297" s="155"/>
      <c r="P297" s="155"/>
    </row>
    <row r="298" spans="1:16" ht="12.75">
      <c r="A298" s="235"/>
      <c r="B298" s="236"/>
      <c r="C298" s="231"/>
      <c r="D298" s="231"/>
      <c r="E298" s="231"/>
      <c r="F298" s="231"/>
      <c r="G298" s="231"/>
      <c r="H298" s="237"/>
      <c r="I298" s="155"/>
      <c r="J298" s="155"/>
      <c r="K298" s="155"/>
      <c r="L298" s="155"/>
      <c r="M298" s="155"/>
      <c r="N298" s="155"/>
      <c r="O298" s="155"/>
      <c r="P298" s="155"/>
    </row>
    <row r="299" spans="1:16" ht="12.75">
      <c r="A299" s="235"/>
      <c r="B299" s="236"/>
      <c r="C299" s="231"/>
      <c r="D299" s="231"/>
      <c r="E299" s="231"/>
      <c r="F299" s="231"/>
      <c r="G299" s="231"/>
      <c r="H299" s="237"/>
      <c r="I299" s="155"/>
      <c r="J299" s="155"/>
      <c r="K299" s="155"/>
      <c r="L299" s="155"/>
      <c r="M299" s="155"/>
      <c r="N299" s="155"/>
      <c r="O299" s="155"/>
      <c r="P299" s="155"/>
    </row>
    <row r="300" spans="1:16" ht="12.75">
      <c r="B300" s="238"/>
      <c r="H300" s="155"/>
      <c r="I300" s="155"/>
      <c r="J300" s="155"/>
      <c r="K300" s="155"/>
      <c r="L300" s="155"/>
      <c r="M300" s="155"/>
      <c r="N300" s="155"/>
      <c r="O300" s="155"/>
      <c r="P300" s="155"/>
    </row>
    <row r="301" spans="1:16" ht="12.75">
      <c r="B301" s="238"/>
      <c r="H301" s="155"/>
      <c r="I301" s="155"/>
      <c r="J301" s="155"/>
      <c r="K301" s="155"/>
      <c r="L301" s="155"/>
      <c r="M301" s="155"/>
      <c r="N301" s="155"/>
      <c r="O301" s="155"/>
      <c r="P301" s="155"/>
    </row>
    <row r="302" spans="1:16" ht="12.75">
      <c r="B302" s="238"/>
      <c r="H302" s="155"/>
      <c r="I302" s="155"/>
      <c r="J302" s="155"/>
      <c r="K302" s="155"/>
      <c r="L302" s="155"/>
      <c r="M302" s="155"/>
      <c r="N302" s="155"/>
      <c r="O302" s="155"/>
      <c r="P302" s="155"/>
    </row>
    <row r="303" spans="1:16" ht="12.75">
      <c r="B303" s="238"/>
      <c r="H303" s="155"/>
      <c r="I303" s="155"/>
      <c r="J303" s="155"/>
      <c r="K303" s="155"/>
      <c r="L303" s="155"/>
      <c r="M303" s="155"/>
      <c r="N303" s="155"/>
      <c r="O303" s="155"/>
      <c r="P303" s="155"/>
    </row>
    <row r="304" spans="1:16" ht="12.75">
      <c r="B304" s="238"/>
      <c r="H304" s="155"/>
      <c r="I304" s="155"/>
      <c r="J304" s="155"/>
      <c r="K304" s="155"/>
      <c r="L304" s="155"/>
      <c r="M304" s="155"/>
      <c r="N304" s="155"/>
      <c r="O304" s="155"/>
      <c r="P304" s="155"/>
    </row>
    <row r="305" spans="2:16" ht="12.75">
      <c r="B305" s="238"/>
      <c r="H305" s="155"/>
      <c r="I305" s="155"/>
      <c r="J305" s="155"/>
      <c r="K305" s="155"/>
      <c r="L305" s="155"/>
      <c r="M305" s="155"/>
      <c r="N305" s="155"/>
      <c r="O305" s="155"/>
      <c r="P305" s="155"/>
    </row>
    <row r="306" spans="2:16" ht="12.75">
      <c r="B306" s="238"/>
      <c r="H306" s="155"/>
      <c r="I306" s="155"/>
      <c r="J306" s="155"/>
      <c r="K306" s="155"/>
      <c r="L306" s="155"/>
      <c r="M306" s="155"/>
      <c r="N306" s="155"/>
      <c r="O306" s="155"/>
      <c r="P306" s="155"/>
    </row>
    <row r="307" spans="2:16" ht="12.75">
      <c r="B307" s="238"/>
      <c r="H307" s="155"/>
      <c r="I307" s="155"/>
      <c r="J307" s="155"/>
      <c r="K307" s="155"/>
      <c r="L307" s="155"/>
      <c r="M307" s="155"/>
      <c r="N307" s="155"/>
      <c r="O307" s="155"/>
      <c r="P307" s="155"/>
    </row>
    <row r="308" spans="2:16" ht="12.75">
      <c r="B308" s="238"/>
      <c r="H308" s="155"/>
      <c r="I308" s="155"/>
      <c r="J308" s="155"/>
      <c r="K308" s="155"/>
      <c r="L308" s="155"/>
      <c r="M308" s="155"/>
      <c r="N308" s="155"/>
      <c r="O308" s="155"/>
      <c r="P308" s="155"/>
    </row>
    <row r="309" spans="2:16" ht="12.75">
      <c r="B309" s="238"/>
      <c r="H309" s="155"/>
      <c r="I309" s="155"/>
      <c r="J309" s="155"/>
      <c r="K309" s="155"/>
      <c r="L309" s="155"/>
      <c r="M309" s="155"/>
      <c r="N309" s="155"/>
      <c r="O309" s="155"/>
      <c r="P309" s="155"/>
    </row>
    <row r="310" spans="2:16" ht="12.75">
      <c r="B310" s="238"/>
      <c r="H310" s="155"/>
      <c r="I310" s="155"/>
      <c r="J310" s="155"/>
      <c r="K310" s="155"/>
      <c r="L310" s="155"/>
      <c r="M310" s="155"/>
      <c r="N310" s="155"/>
      <c r="O310" s="155"/>
      <c r="P310" s="155"/>
    </row>
    <row r="311" spans="2:16" ht="12.75">
      <c r="B311" s="238"/>
      <c r="H311" s="155"/>
      <c r="I311" s="155"/>
      <c r="J311" s="155"/>
      <c r="K311" s="155"/>
      <c r="L311" s="155"/>
      <c r="M311" s="155"/>
      <c r="N311" s="155"/>
      <c r="O311" s="155"/>
      <c r="P311" s="155"/>
    </row>
    <row r="312" spans="2:16" ht="12.75">
      <c r="B312" s="238"/>
      <c r="H312" s="155"/>
      <c r="I312" s="155"/>
      <c r="J312" s="155"/>
      <c r="K312" s="155"/>
      <c r="L312" s="155"/>
      <c r="M312" s="155"/>
      <c r="N312" s="155"/>
      <c r="O312" s="155"/>
      <c r="P312" s="155"/>
    </row>
    <row r="313" spans="2:16" ht="12.75">
      <c r="B313" s="238"/>
      <c r="H313" s="155"/>
      <c r="I313" s="155"/>
      <c r="J313" s="155"/>
      <c r="K313" s="155"/>
      <c r="L313" s="155"/>
      <c r="M313" s="155"/>
      <c r="N313" s="155"/>
      <c r="O313" s="155"/>
      <c r="P313" s="155"/>
    </row>
    <row r="314" spans="2:16" ht="12.75">
      <c r="B314" s="238"/>
      <c r="H314" s="155"/>
      <c r="I314" s="155"/>
      <c r="J314" s="155"/>
      <c r="K314" s="155"/>
      <c r="L314" s="155"/>
      <c r="M314" s="155"/>
      <c r="N314" s="155"/>
      <c r="O314" s="155"/>
      <c r="P314" s="155"/>
    </row>
    <row r="315" spans="2:16" ht="12.75">
      <c r="B315" s="238"/>
      <c r="H315" s="155"/>
      <c r="I315" s="155"/>
      <c r="J315" s="155"/>
      <c r="K315" s="155"/>
      <c r="L315" s="155"/>
      <c r="M315" s="155"/>
      <c r="N315" s="155"/>
      <c r="O315" s="155"/>
      <c r="P315" s="155"/>
    </row>
    <row r="316" spans="2:16" ht="12.75">
      <c r="B316" s="238"/>
      <c r="H316" s="155"/>
      <c r="I316" s="155"/>
      <c r="J316" s="155"/>
      <c r="K316" s="155"/>
      <c r="L316" s="155"/>
      <c r="M316" s="155"/>
      <c r="N316" s="155"/>
      <c r="O316" s="155"/>
      <c r="P316" s="155"/>
    </row>
    <row r="317" spans="2:16" ht="12.75">
      <c r="B317" s="238"/>
      <c r="H317" s="155"/>
      <c r="I317" s="155"/>
      <c r="J317" s="155"/>
      <c r="K317" s="155"/>
      <c r="L317" s="155"/>
      <c r="M317" s="155"/>
      <c r="N317" s="155"/>
      <c r="O317" s="155"/>
      <c r="P317" s="155"/>
    </row>
    <row r="318" spans="2:16" ht="12.75">
      <c r="B318" s="238"/>
      <c r="H318" s="155"/>
      <c r="I318" s="155"/>
      <c r="J318" s="155"/>
      <c r="K318" s="155"/>
      <c r="L318" s="155"/>
      <c r="M318" s="155"/>
      <c r="N318" s="155"/>
      <c r="O318" s="155"/>
      <c r="P318" s="155"/>
    </row>
    <row r="319" spans="2:16" ht="12.75">
      <c r="B319" s="238"/>
      <c r="H319" s="155"/>
      <c r="I319" s="155"/>
      <c r="J319" s="155"/>
      <c r="K319" s="155"/>
      <c r="L319" s="155"/>
      <c r="M319" s="155"/>
      <c r="N319" s="155"/>
      <c r="O319" s="155"/>
      <c r="P319" s="155"/>
    </row>
    <row r="320" spans="2:16" ht="12.75">
      <c r="B320" s="238"/>
      <c r="H320" s="155"/>
      <c r="I320" s="155"/>
      <c r="J320" s="155"/>
      <c r="K320" s="155"/>
      <c r="L320" s="155"/>
      <c r="M320" s="155"/>
      <c r="N320" s="155"/>
      <c r="O320" s="155"/>
      <c r="P320" s="155"/>
    </row>
    <row r="321" spans="2:16" ht="12.75">
      <c r="B321" s="238"/>
      <c r="H321" s="155"/>
      <c r="I321" s="155"/>
      <c r="J321" s="155"/>
      <c r="K321" s="155"/>
      <c r="L321" s="155"/>
      <c r="M321" s="155"/>
      <c r="N321" s="155"/>
      <c r="O321" s="155"/>
      <c r="P321" s="155"/>
    </row>
    <row r="322" spans="2:16" ht="12.75">
      <c r="B322" s="238"/>
      <c r="H322" s="155"/>
      <c r="I322" s="155"/>
      <c r="J322" s="155"/>
      <c r="K322" s="155"/>
      <c r="L322" s="155"/>
      <c r="M322" s="155"/>
      <c r="N322" s="155"/>
      <c r="O322" s="155"/>
      <c r="P322" s="155"/>
    </row>
    <row r="323" spans="2:16" ht="12.75">
      <c r="B323" s="238"/>
      <c r="H323" s="155"/>
      <c r="I323" s="155"/>
      <c r="J323" s="155"/>
      <c r="K323" s="155"/>
      <c r="L323" s="155"/>
      <c r="M323" s="155"/>
      <c r="N323" s="155"/>
      <c r="O323" s="155"/>
      <c r="P323" s="155"/>
    </row>
    <row r="324" spans="2:16" ht="12.75">
      <c r="B324" s="238"/>
      <c r="H324" s="155"/>
      <c r="I324" s="155"/>
      <c r="J324" s="155"/>
      <c r="K324" s="155"/>
      <c r="L324" s="155"/>
      <c r="M324" s="155"/>
      <c r="N324" s="155"/>
      <c r="O324" s="155"/>
      <c r="P324" s="155"/>
    </row>
    <row r="325" spans="2:16" ht="12.75">
      <c r="B325" s="238"/>
      <c r="H325" s="155"/>
      <c r="I325" s="155"/>
      <c r="J325" s="155"/>
      <c r="K325" s="155"/>
      <c r="L325" s="155"/>
      <c r="M325" s="155"/>
      <c r="N325" s="155"/>
      <c r="O325" s="155"/>
      <c r="P325" s="155"/>
    </row>
    <row r="326" spans="2:16" ht="12.75">
      <c r="B326" s="238"/>
      <c r="H326" s="155"/>
      <c r="I326" s="155"/>
      <c r="J326" s="155"/>
      <c r="K326" s="155"/>
      <c r="L326" s="155"/>
      <c r="M326" s="155"/>
      <c r="N326" s="155"/>
      <c r="O326" s="155"/>
      <c r="P326" s="155"/>
    </row>
    <row r="327" spans="2:16" ht="12.75">
      <c r="B327" s="238"/>
      <c r="H327" s="155"/>
      <c r="I327" s="155"/>
      <c r="J327" s="155"/>
      <c r="K327" s="155"/>
      <c r="L327" s="155"/>
      <c r="M327" s="155"/>
      <c r="N327" s="155"/>
      <c r="O327" s="155"/>
      <c r="P327" s="155"/>
    </row>
    <row r="328" spans="2:16" ht="12.75">
      <c r="B328" s="238"/>
      <c r="H328" s="155"/>
      <c r="I328" s="155"/>
      <c r="J328" s="155"/>
      <c r="K328" s="155"/>
      <c r="L328" s="155"/>
      <c r="M328" s="155"/>
      <c r="N328" s="155"/>
      <c r="O328" s="155"/>
      <c r="P328" s="155"/>
    </row>
    <row r="329" spans="2:16" ht="12.75">
      <c r="B329" s="238"/>
      <c r="H329" s="155"/>
      <c r="I329" s="155"/>
      <c r="J329" s="155"/>
      <c r="K329" s="155"/>
      <c r="L329" s="155"/>
      <c r="M329" s="155"/>
      <c r="N329" s="155"/>
      <c r="O329" s="155"/>
      <c r="P329" s="155"/>
    </row>
    <row r="330" spans="2:16" ht="12.75">
      <c r="B330" s="238"/>
      <c r="H330" s="155"/>
      <c r="I330" s="155"/>
      <c r="J330" s="155"/>
      <c r="K330" s="155"/>
      <c r="L330" s="155"/>
      <c r="M330" s="155"/>
      <c r="N330" s="155"/>
      <c r="O330" s="155"/>
      <c r="P330" s="155"/>
    </row>
    <row r="331" spans="2:16" ht="12.75">
      <c r="B331" s="238"/>
      <c r="H331" s="155"/>
      <c r="I331" s="155"/>
      <c r="J331" s="155"/>
      <c r="K331" s="155"/>
      <c r="L331" s="155"/>
      <c r="M331" s="155"/>
      <c r="N331" s="155"/>
      <c r="O331" s="155"/>
      <c r="P331" s="155"/>
    </row>
    <row r="332" spans="2:16" ht="12.75">
      <c r="B332" s="238"/>
      <c r="H332" s="155"/>
      <c r="I332" s="155"/>
      <c r="J332" s="155"/>
      <c r="K332" s="155"/>
      <c r="L332" s="155"/>
      <c r="M332" s="155"/>
      <c r="N332" s="155"/>
      <c r="O332" s="155"/>
      <c r="P332" s="155"/>
    </row>
    <row r="333" spans="2:16" ht="12.75">
      <c r="B333" s="238"/>
      <c r="H333" s="155"/>
      <c r="I333" s="155"/>
      <c r="J333" s="155"/>
      <c r="K333" s="155"/>
      <c r="L333" s="155"/>
      <c r="M333" s="155"/>
      <c r="N333" s="155"/>
      <c r="O333" s="155"/>
      <c r="P333" s="155"/>
    </row>
    <row r="334" spans="2:16" ht="12.75">
      <c r="B334" s="238"/>
      <c r="H334" s="155"/>
      <c r="I334" s="155"/>
      <c r="J334" s="155"/>
      <c r="K334" s="155"/>
      <c r="L334" s="155"/>
      <c r="M334" s="155"/>
      <c r="N334" s="155"/>
      <c r="O334" s="155"/>
      <c r="P334" s="155"/>
    </row>
    <row r="335" spans="2:16" ht="12.75">
      <c r="B335" s="238"/>
      <c r="H335" s="155"/>
      <c r="I335" s="155"/>
      <c r="J335" s="155"/>
      <c r="K335" s="155"/>
      <c r="L335" s="155"/>
      <c r="M335" s="155"/>
      <c r="N335" s="155"/>
      <c r="O335" s="155"/>
      <c r="P335" s="155"/>
    </row>
    <row r="336" spans="2:16" ht="12.75">
      <c r="B336" s="238"/>
      <c r="H336" s="155"/>
      <c r="I336" s="239"/>
      <c r="L336" s="240"/>
      <c r="M336" s="241"/>
      <c r="N336" s="178"/>
      <c r="O336" s="242"/>
      <c r="P336" s="243"/>
    </row>
    <row r="337" spans="2:16" ht="12.75">
      <c r="B337" s="238"/>
      <c r="H337" s="155"/>
      <c r="I337" s="239"/>
      <c r="L337" s="240"/>
      <c r="M337" s="241"/>
      <c r="N337" s="178"/>
      <c r="O337" s="242"/>
      <c r="P337" s="243"/>
    </row>
    <row r="338" spans="2:16" ht="12.75">
      <c r="B338" s="238"/>
      <c r="H338" s="155"/>
      <c r="I338" s="239"/>
      <c r="L338" s="240"/>
      <c r="M338" s="241"/>
      <c r="N338" s="178"/>
      <c r="O338" s="242"/>
      <c r="P338" s="243"/>
    </row>
    <row r="339" spans="2:16" ht="12.75">
      <c r="B339" s="238"/>
      <c r="H339" s="155"/>
      <c r="I339" s="239"/>
      <c r="L339" s="240"/>
      <c r="M339" s="241"/>
      <c r="N339" s="178"/>
      <c r="O339" s="242"/>
      <c r="P339" s="243"/>
    </row>
    <row r="340" spans="2:16" ht="12.75">
      <c r="B340" s="238"/>
      <c r="H340" s="155"/>
      <c r="I340" s="239"/>
      <c r="L340" s="240"/>
      <c r="M340" s="241"/>
      <c r="N340" s="178"/>
      <c r="O340" s="242"/>
      <c r="P340" s="243"/>
    </row>
    <row r="341" spans="2:16" ht="12.75">
      <c r="B341" s="238"/>
      <c r="H341" s="155"/>
      <c r="I341" s="239"/>
      <c r="L341" s="240"/>
      <c r="M341" s="241"/>
      <c r="N341" s="178"/>
      <c r="O341" s="242"/>
      <c r="P341" s="243"/>
    </row>
    <row r="342" spans="2:16" ht="12.75">
      <c r="B342" s="238"/>
      <c r="H342" s="155"/>
      <c r="I342" s="239"/>
      <c r="L342" s="240"/>
      <c r="M342" s="241"/>
      <c r="N342" s="178"/>
      <c r="O342" s="242"/>
      <c r="P342" s="243"/>
    </row>
    <row r="343" spans="2:16" ht="12.75">
      <c r="B343" s="238"/>
      <c r="H343" s="155"/>
      <c r="I343" s="239"/>
      <c r="L343" s="240"/>
      <c r="M343" s="241"/>
      <c r="N343" s="178"/>
      <c r="O343" s="242"/>
      <c r="P343" s="243"/>
    </row>
    <row r="344" spans="2:16" ht="12.75">
      <c r="B344" s="238"/>
      <c r="H344" s="155"/>
      <c r="I344" s="239"/>
      <c r="L344" s="240"/>
      <c r="M344" s="241"/>
      <c r="N344" s="178"/>
      <c r="O344" s="242"/>
      <c r="P344" s="243"/>
    </row>
    <row r="345" spans="2:16" ht="12.75">
      <c r="B345" s="238"/>
      <c r="H345" s="155"/>
      <c r="I345" s="239"/>
      <c r="L345" s="240"/>
      <c r="M345" s="241"/>
      <c r="N345" s="178"/>
      <c r="O345" s="242"/>
      <c r="P345" s="243"/>
    </row>
    <row r="346" spans="2:16" ht="12.75">
      <c r="B346" s="238"/>
      <c r="H346" s="155"/>
      <c r="I346" s="239"/>
      <c r="L346" s="240"/>
      <c r="M346" s="241"/>
      <c r="N346" s="178"/>
      <c r="O346" s="242"/>
      <c r="P346" s="243"/>
    </row>
    <row r="347" spans="2:16" ht="12.75">
      <c r="B347" s="238"/>
      <c r="H347" s="155"/>
      <c r="I347" s="239"/>
      <c r="L347" s="240"/>
      <c r="M347" s="241"/>
      <c r="N347" s="178"/>
      <c r="O347" s="242"/>
      <c r="P347" s="243"/>
    </row>
    <row r="348" spans="2:16" ht="12.75">
      <c r="B348" s="238"/>
      <c r="H348" s="155"/>
      <c r="I348" s="239"/>
      <c r="L348" s="240"/>
      <c r="M348" s="241"/>
      <c r="N348" s="178"/>
      <c r="O348" s="242"/>
      <c r="P348" s="243"/>
    </row>
    <row r="349" spans="2:16" ht="12.75">
      <c r="B349" s="238"/>
      <c r="H349" s="155"/>
      <c r="I349" s="239"/>
      <c r="L349" s="240"/>
      <c r="M349" s="241"/>
      <c r="N349" s="178"/>
      <c r="O349" s="242"/>
      <c r="P349" s="243"/>
    </row>
    <row r="350" spans="2:16" ht="12.75">
      <c r="B350" s="238"/>
      <c r="H350" s="155"/>
      <c r="I350" s="239"/>
      <c r="L350" s="240"/>
      <c r="M350" s="241"/>
      <c r="N350" s="178"/>
      <c r="O350" s="242"/>
      <c r="P350" s="243"/>
    </row>
    <row r="351" spans="2:16" ht="12.75">
      <c r="B351" s="238"/>
      <c r="H351" s="155"/>
      <c r="I351" s="239"/>
      <c r="L351" s="240"/>
      <c r="M351" s="241"/>
      <c r="N351" s="178"/>
      <c r="O351" s="242"/>
      <c r="P351" s="243"/>
    </row>
    <row r="352" spans="2:16" ht="12.75">
      <c r="B352" s="238"/>
      <c r="H352" s="155"/>
      <c r="I352" s="239"/>
      <c r="L352" s="240"/>
      <c r="M352" s="241"/>
      <c r="N352" s="178"/>
      <c r="O352" s="242"/>
      <c r="P352" s="243"/>
    </row>
    <row r="353" spans="2:16" ht="12.75">
      <c r="B353" s="238"/>
      <c r="H353" s="155"/>
      <c r="I353" s="239"/>
      <c r="L353" s="240"/>
      <c r="M353" s="241"/>
      <c r="N353" s="178"/>
      <c r="O353" s="242"/>
      <c r="P353" s="243"/>
    </row>
    <row r="354" spans="2:16" ht="12.75">
      <c r="B354" s="238"/>
      <c r="H354" s="155"/>
      <c r="I354" s="239"/>
      <c r="L354" s="240"/>
      <c r="M354" s="241"/>
      <c r="N354" s="178"/>
      <c r="O354" s="242"/>
      <c r="P354" s="243"/>
    </row>
    <row r="355" spans="2:16" ht="12.75">
      <c r="B355" s="238"/>
      <c r="H355" s="155"/>
      <c r="I355" s="239"/>
      <c r="L355" s="240"/>
      <c r="M355" s="241"/>
      <c r="N355" s="178"/>
      <c r="O355" s="242"/>
      <c r="P355" s="243"/>
    </row>
    <row r="356" spans="2:16" ht="12.75">
      <c r="B356" s="238"/>
      <c r="H356" s="155"/>
      <c r="I356" s="239"/>
      <c r="L356" s="240"/>
      <c r="M356" s="241"/>
      <c r="N356" s="178"/>
      <c r="O356" s="242"/>
      <c r="P356" s="243"/>
    </row>
    <row r="357" spans="2:16" ht="12.75">
      <c r="B357" s="238"/>
      <c r="H357" s="155"/>
      <c r="I357" s="239"/>
      <c r="L357" s="240"/>
      <c r="M357" s="241"/>
      <c r="N357" s="178"/>
      <c r="O357" s="242"/>
      <c r="P357" s="243"/>
    </row>
    <row r="358" spans="2:16" ht="12.75">
      <c r="B358" s="238"/>
      <c r="H358" s="155"/>
      <c r="I358" s="239"/>
      <c r="L358" s="240"/>
      <c r="M358" s="241"/>
      <c r="N358" s="178"/>
      <c r="O358" s="242"/>
      <c r="P358" s="243"/>
    </row>
    <row r="359" spans="2:16" ht="12.75">
      <c r="B359" s="238"/>
      <c r="H359" s="155"/>
      <c r="I359" s="239"/>
      <c r="L359" s="240"/>
      <c r="M359" s="241"/>
      <c r="N359" s="178"/>
      <c r="O359" s="242"/>
      <c r="P359" s="243"/>
    </row>
    <row r="360" spans="2:16" ht="12.75">
      <c r="B360" s="238"/>
      <c r="H360" s="155"/>
      <c r="I360" s="239"/>
      <c r="L360" s="240"/>
      <c r="M360" s="241"/>
      <c r="N360" s="178"/>
      <c r="O360" s="242"/>
      <c r="P360" s="243"/>
    </row>
    <row r="361" spans="2:16" ht="12.75">
      <c r="B361" s="238"/>
      <c r="H361" s="155"/>
      <c r="I361" s="239"/>
      <c r="L361" s="240"/>
      <c r="M361" s="241"/>
      <c r="N361" s="178"/>
      <c r="O361" s="242"/>
      <c r="P361" s="243"/>
    </row>
    <row r="362" spans="2:16" ht="12.75">
      <c r="B362" s="238"/>
      <c r="H362" s="155"/>
      <c r="I362" s="239"/>
      <c r="L362" s="240"/>
      <c r="M362" s="241"/>
      <c r="N362" s="178"/>
      <c r="O362" s="242"/>
      <c r="P362" s="243"/>
    </row>
    <row r="363" spans="2:16" ht="12.75">
      <c r="B363" s="238"/>
      <c r="H363" s="155"/>
      <c r="I363" s="239"/>
      <c r="L363" s="240"/>
      <c r="M363" s="241"/>
      <c r="N363" s="178"/>
      <c r="O363" s="242"/>
      <c r="P363" s="243"/>
    </row>
    <row r="364" spans="2:16" ht="12.75">
      <c r="B364" s="238"/>
      <c r="H364" s="155"/>
      <c r="I364" s="239"/>
      <c r="L364" s="240"/>
      <c r="M364" s="241"/>
      <c r="N364" s="178"/>
      <c r="O364" s="242"/>
      <c r="P364" s="243"/>
    </row>
    <row r="365" spans="2:16" ht="12.75">
      <c r="B365" s="238"/>
      <c r="H365" s="155"/>
      <c r="I365" s="239"/>
      <c r="L365" s="240"/>
      <c r="M365" s="241"/>
      <c r="N365" s="178"/>
      <c r="O365" s="242"/>
      <c r="P365" s="243"/>
    </row>
    <row r="366" spans="2:16" ht="12.75">
      <c r="B366" s="238"/>
      <c r="H366" s="155"/>
      <c r="I366" s="239"/>
      <c r="L366" s="240"/>
      <c r="M366" s="241"/>
      <c r="N366" s="178"/>
      <c r="O366" s="242"/>
      <c r="P366" s="243"/>
    </row>
    <row r="367" spans="2:16" ht="12.75">
      <c r="B367" s="238"/>
      <c r="H367" s="155"/>
      <c r="I367" s="239"/>
      <c r="L367" s="240"/>
      <c r="M367" s="241"/>
      <c r="N367" s="178"/>
      <c r="O367" s="242"/>
      <c r="P367" s="243"/>
    </row>
    <row r="368" spans="2:16" ht="12.75">
      <c r="B368" s="238"/>
      <c r="H368" s="155"/>
      <c r="I368" s="239"/>
      <c r="L368" s="240"/>
      <c r="M368" s="241"/>
      <c r="N368" s="178"/>
      <c r="O368" s="242"/>
      <c r="P368" s="243"/>
    </row>
    <row r="369" spans="2:16" ht="12.75">
      <c r="B369" s="238"/>
      <c r="H369" s="155"/>
      <c r="I369" s="239"/>
      <c r="L369" s="240"/>
      <c r="M369" s="241"/>
      <c r="N369" s="178"/>
      <c r="O369" s="242"/>
      <c r="P369" s="243"/>
    </row>
    <row r="370" spans="2:16" ht="12.75">
      <c r="B370" s="238"/>
      <c r="H370" s="155"/>
      <c r="I370" s="239"/>
      <c r="L370" s="240"/>
      <c r="M370" s="241"/>
      <c r="N370" s="178"/>
      <c r="O370" s="242"/>
      <c r="P370" s="243"/>
    </row>
    <row r="371" spans="2:16" ht="12.75">
      <c r="B371" s="238"/>
      <c r="H371" s="155"/>
      <c r="I371" s="239"/>
      <c r="L371" s="240"/>
      <c r="M371" s="241"/>
      <c r="N371" s="178"/>
      <c r="O371" s="242"/>
      <c r="P371" s="243"/>
    </row>
    <row r="372" spans="2:16" ht="12.75">
      <c r="B372" s="238"/>
      <c r="H372" s="155"/>
      <c r="I372" s="239"/>
      <c r="L372" s="240"/>
      <c r="M372" s="241"/>
      <c r="N372" s="178"/>
      <c r="O372" s="242"/>
      <c r="P372" s="243"/>
    </row>
    <row r="373" spans="2:16" ht="12.75">
      <c r="B373" s="238"/>
      <c r="H373" s="155"/>
      <c r="I373" s="239"/>
      <c r="L373" s="240"/>
      <c r="M373" s="241"/>
      <c r="N373" s="178"/>
      <c r="O373" s="242"/>
      <c r="P373" s="243"/>
    </row>
    <row r="374" spans="2:16" ht="12.75">
      <c r="B374" s="238"/>
      <c r="H374" s="155"/>
      <c r="I374" s="239"/>
      <c r="L374" s="240"/>
      <c r="M374" s="241"/>
      <c r="N374" s="178"/>
      <c r="O374" s="242"/>
      <c r="P374" s="243"/>
    </row>
    <row r="375" spans="2:16" ht="12.75">
      <c r="B375" s="238"/>
      <c r="H375" s="155"/>
      <c r="I375" s="239"/>
      <c r="L375" s="240"/>
      <c r="M375" s="241"/>
      <c r="N375" s="178"/>
      <c r="O375" s="242"/>
      <c r="P375" s="243"/>
    </row>
    <row r="376" spans="2:16" ht="12.75">
      <c r="B376" s="238"/>
      <c r="H376" s="155"/>
      <c r="I376" s="239"/>
      <c r="L376" s="240"/>
      <c r="M376" s="241"/>
      <c r="N376" s="178"/>
      <c r="O376" s="242"/>
      <c r="P376" s="243"/>
    </row>
    <row r="377" spans="2:16" ht="12.75">
      <c r="B377" s="238"/>
      <c r="H377" s="155"/>
      <c r="I377" s="239"/>
      <c r="L377" s="240"/>
      <c r="M377" s="241"/>
      <c r="N377" s="178"/>
      <c r="O377" s="242"/>
      <c r="P377" s="243"/>
    </row>
    <row r="378" spans="2:16" ht="12.75">
      <c r="B378" s="238"/>
      <c r="H378" s="155"/>
      <c r="I378" s="239"/>
      <c r="L378" s="240"/>
      <c r="M378" s="241"/>
      <c r="N378" s="178"/>
      <c r="O378" s="242"/>
      <c r="P378" s="243"/>
    </row>
    <row r="379" spans="2:16" ht="12.75">
      <c r="B379" s="238"/>
      <c r="H379" s="155"/>
      <c r="I379" s="239"/>
      <c r="L379" s="240"/>
      <c r="M379" s="241"/>
      <c r="N379" s="178"/>
      <c r="O379" s="242"/>
      <c r="P379" s="243"/>
    </row>
    <row r="380" spans="2:16" ht="12.75">
      <c r="B380" s="238"/>
      <c r="H380" s="155"/>
      <c r="I380" s="239"/>
      <c r="L380" s="240"/>
      <c r="M380" s="241"/>
      <c r="N380" s="178"/>
      <c r="O380" s="242"/>
      <c r="P380" s="243"/>
    </row>
    <row r="381" spans="2:16" ht="12.75">
      <c r="B381" s="238"/>
      <c r="H381" s="155"/>
      <c r="I381" s="239"/>
      <c r="L381" s="240"/>
      <c r="M381" s="241"/>
      <c r="N381" s="178"/>
      <c r="O381" s="242"/>
      <c r="P381" s="243"/>
    </row>
    <row r="382" spans="2:16" ht="12.75">
      <c r="B382" s="238"/>
      <c r="H382" s="155"/>
      <c r="I382" s="239"/>
      <c r="L382" s="240"/>
      <c r="M382" s="241"/>
      <c r="N382" s="178"/>
      <c r="O382" s="242"/>
      <c r="P382" s="243"/>
    </row>
    <row r="383" spans="2:16" ht="12.75">
      <c r="B383" s="238"/>
      <c r="H383" s="155"/>
      <c r="I383" s="239"/>
      <c r="L383" s="240"/>
      <c r="M383" s="241"/>
      <c r="N383" s="178"/>
      <c r="O383" s="242"/>
      <c r="P383" s="243"/>
    </row>
    <row r="384" spans="2:16" ht="12.75">
      <c r="B384" s="238"/>
      <c r="H384" s="155"/>
      <c r="I384" s="239"/>
      <c r="L384" s="240"/>
      <c r="M384" s="241"/>
      <c r="N384" s="178"/>
      <c r="O384" s="242"/>
      <c r="P384" s="243"/>
    </row>
    <row r="385" spans="1:26" ht="12.75">
      <c r="B385" s="238"/>
      <c r="H385" s="155"/>
      <c r="I385" s="239"/>
      <c r="L385" s="240"/>
      <c r="M385" s="241"/>
      <c r="N385" s="178"/>
      <c r="O385" s="242"/>
      <c r="P385" s="243"/>
    </row>
    <row r="386" spans="1:26" ht="12.75">
      <c r="B386" s="238"/>
      <c r="H386" s="155"/>
      <c r="I386" s="239"/>
      <c r="L386" s="240"/>
      <c r="M386" s="241"/>
      <c r="N386" s="178"/>
      <c r="O386" s="242"/>
      <c r="P386" s="243"/>
    </row>
    <row r="387" spans="1:26" ht="12.75">
      <c r="B387" s="238"/>
      <c r="H387" s="155"/>
      <c r="I387" s="239"/>
      <c r="L387" s="240"/>
      <c r="M387" s="241"/>
      <c r="N387" s="178"/>
      <c r="O387" s="242"/>
      <c r="P387" s="243"/>
    </row>
    <row r="388" spans="1:26" ht="12.75">
      <c r="B388" s="238"/>
      <c r="H388" s="155"/>
      <c r="I388" s="239"/>
      <c r="L388" s="240"/>
      <c r="M388" s="241"/>
      <c r="N388" s="178"/>
      <c r="O388" s="242"/>
      <c r="P388" s="243"/>
    </row>
    <row r="389" spans="1:26" ht="12.75">
      <c r="B389" s="238"/>
      <c r="H389" s="155"/>
      <c r="I389" s="239"/>
      <c r="L389" s="240"/>
      <c r="M389" s="241"/>
      <c r="N389" s="178"/>
      <c r="O389" s="242"/>
      <c r="P389" s="243"/>
    </row>
    <row r="390" spans="1:26" ht="12.75">
      <c r="A390" s="244"/>
      <c r="B390" s="245"/>
      <c r="C390" s="244"/>
      <c r="D390" s="244"/>
      <c r="E390" s="244"/>
      <c r="F390" s="244"/>
      <c r="G390" s="244"/>
      <c r="H390" s="244"/>
      <c r="I390" s="244"/>
      <c r="J390" s="244"/>
      <c r="K390" s="244"/>
      <c r="L390" s="244"/>
      <c r="M390" s="244"/>
      <c r="N390" s="244"/>
      <c r="O390" s="244"/>
      <c r="P390" s="244"/>
      <c r="Q390" s="155"/>
      <c r="R390" s="155"/>
      <c r="S390" s="155"/>
      <c r="T390" s="155"/>
      <c r="U390" s="155"/>
      <c r="V390" s="155"/>
      <c r="W390" s="155"/>
      <c r="X390" s="155"/>
      <c r="Y390" s="155"/>
      <c r="Z390" s="155"/>
    </row>
    <row r="391" spans="1:26" ht="12.75">
      <c r="B391" s="238"/>
      <c r="H391" s="155"/>
      <c r="I391" s="239"/>
      <c r="L391" s="240"/>
      <c r="M391" s="241"/>
      <c r="N391" s="178"/>
      <c r="O391" s="242"/>
      <c r="P391" s="243"/>
    </row>
    <row r="392" spans="1:26" ht="12.75">
      <c r="B392" s="238"/>
      <c r="H392" s="155"/>
      <c r="I392" s="239"/>
      <c r="L392" s="240"/>
      <c r="M392" s="241"/>
      <c r="N392" s="178"/>
      <c r="O392" s="242"/>
      <c r="P392" s="243"/>
    </row>
    <row r="393" spans="1:26" ht="12.75">
      <c r="B393" s="238"/>
      <c r="H393" s="155"/>
      <c r="I393" s="239"/>
      <c r="L393" s="240"/>
      <c r="M393" s="241"/>
      <c r="N393" s="178"/>
      <c r="O393" s="242"/>
      <c r="P393" s="243"/>
    </row>
    <row r="394" spans="1:26" ht="12.75">
      <c r="B394" s="238"/>
      <c r="H394" s="155"/>
      <c r="I394" s="239"/>
      <c r="L394" s="240"/>
      <c r="M394" s="241"/>
      <c r="N394" s="178"/>
      <c r="O394" s="242"/>
      <c r="P394" s="243"/>
    </row>
    <row r="395" spans="1:26" ht="12.75">
      <c r="B395" s="238"/>
      <c r="H395" s="155"/>
      <c r="I395" s="239"/>
      <c r="L395" s="240"/>
      <c r="M395" s="241"/>
      <c r="N395" s="178"/>
      <c r="O395" s="242"/>
      <c r="P395" s="243"/>
    </row>
    <row r="396" spans="1:26" ht="12.75">
      <c r="B396" s="238"/>
      <c r="H396" s="155"/>
      <c r="I396" s="239"/>
      <c r="L396" s="240"/>
      <c r="M396" s="241"/>
      <c r="N396" s="178"/>
      <c r="O396" s="242"/>
      <c r="P396" s="243"/>
    </row>
    <row r="397" spans="1:26" ht="12.75">
      <c r="B397" s="238"/>
      <c r="H397" s="155"/>
      <c r="I397" s="239"/>
      <c r="L397" s="240"/>
      <c r="M397" s="241"/>
      <c r="N397" s="178"/>
      <c r="O397" s="242"/>
      <c r="P397" s="243"/>
    </row>
    <row r="398" spans="1:26" ht="12.75">
      <c r="B398" s="238"/>
      <c r="H398" s="155"/>
      <c r="I398" s="239"/>
      <c r="L398" s="240"/>
      <c r="M398" s="241"/>
      <c r="N398" s="178"/>
      <c r="O398" s="242"/>
      <c r="P398" s="243"/>
    </row>
    <row r="399" spans="1:26" ht="12.75">
      <c r="B399" s="238"/>
      <c r="H399" s="155"/>
      <c r="I399" s="239"/>
      <c r="L399" s="240"/>
      <c r="M399" s="241"/>
      <c r="N399" s="178"/>
      <c r="O399" s="242"/>
      <c r="P399" s="243"/>
    </row>
    <row r="400" spans="1:26" ht="12.75">
      <c r="B400" s="238"/>
      <c r="H400" s="155"/>
      <c r="I400" s="239"/>
      <c r="L400" s="240"/>
      <c r="M400" s="241"/>
      <c r="N400" s="178"/>
      <c r="O400" s="242"/>
      <c r="P400" s="243"/>
    </row>
    <row r="401" spans="2:16" ht="12.75">
      <c r="B401" s="238"/>
      <c r="H401" s="155"/>
      <c r="I401" s="239"/>
      <c r="L401" s="240"/>
      <c r="M401" s="241"/>
      <c r="N401" s="178"/>
      <c r="O401" s="242"/>
      <c r="P401" s="243"/>
    </row>
    <row r="402" spans="2:16" ht="12.75">
      <c r="B402" s="238"/>
      <c r="H402" s="155"/>
      <c r="I402" s="239"/>
      <c r="L402" s="240"/>
      <c r="M402" s="241"/>
      <c r="N402" s="178"/>
      <c r="O402" s="242"/>
      <c r="P402" s="243"/>
    </row>
    <row r="403" spans="2:16" ht="12.75">
      <c r="B403" s="238"/>
      <c r="H403" s="155"/>
      <c r="I403" s="239"/>
      <c r="L403" s="240"/>
      <c r="M403" s="241"/>
      <c r="N403" s="178"/>
      <c r="O403" s="242"/>
      <c r="P403" s="243"/>
    </row>
    <row r="404" spans="2:16" ht="12.75">
      <c r="B404" s="238"/>
      <c r="H404" s="155"/>
      <c r="I404" s="239"/>
      <c r="L404" s="240"/>
      <c r="M404" s="241"/>
      <c r="N404" s="178"/>
      <c r="O404" s="242"/>
      <c r="P404" s="243"/>
    </row>
    <row r="405" spans="2:16" ht="12.75">
      <c r="B405" s="238"/>
      <c r="H405" s="155"/>
      <c r="I405" s="239"/>
      <c r="L405" s="240"/>
      <c r="M405" s="241"/>
      <c r="N405" s="178"/>
      <c r="O405" s="242"/>
      <c r="P405" s="243"/>
    </row>
    <row r="406" spans="2:16" ht="12.75">
      <c r="B406" s="238"/>
      <c r="H406" s="155"/>
      <c r="I406" s="239"/>
      <c r="L406" s="240"/>
      <c r="M406" s="241"/>
      <c r="N406" s="178"/>
      <c r="O406" s="242"/>
      <c r="P406" s="243"/>
    </row>
    <row r="407" spans="2:16" ht="12.75">
      <c r="B407" s="238"/>
      <c r="H407" s="155"/>
      <c r="I407" s="239"/>
      <c r="L407" s="240"/>
      <c r="M407" s="241"/>
      <c r="N407" s="178"/>
      <c r="O407" s="242"/>
      <c r="P407" s="243"/>
    </row>
    <row r="408" spans="2:16" ht="12.75">
      <c r="B408" s="238"/>
      <c r="H408" s="155"/>
      <c r="I408" s="239"/>
      <c r="L408" s="240"/>
      <c r="M408" s="241"/>
      <c r="N408" s="178"/>
      <c r="O408" s="242"/>
      <c r="P408" s="243"/>
    </row>
    <row r="409" spans="2:16" ht="12.75">
      <c r="B409" s="238"/>
      <c r="H409" s="155"/>
      <c r="I409" s="239"/>
      <c r="L409" s="240"/>
      <c r="M409" s="241"/>
      <c r="N409" s="178"/>
      <c r="O409" s="242"/>
      <c r="P409" s="243"/>
    </row>
    <row r="410" spans="2:16" ht="12.75">
      <c r="B410" s="238"/>
      <c r="H410" s="155"/>
      <c r="I410" s="239"/>
      <c r="L410" s="240"/>
      <c r="M410" s="241"/>
      <c r="N410" s="178"/>
      <c r="O410" s="242"/>
      <c r="P410" s="243"/>
    </row>
    <row r="411" spans="2:16" ht="12.75">
      <c r="B411" s="238"/>
      <c r="H411" s="155"/>
      <c r="I411" s="239"/>
      <c r="L411" s="240"/>
      <c r="M411" s="241"/>
      <c r="N411" s="178"/>
      <c r="O411" s="242"/>
      <c r="P411" s="243"/>
    </row>
    <row r="412" spans="2:16" ht="12.75">
      <c r="B412" s="238"/>
      <c r="H412" s="155"/>
      <c r="I412" s="239"/>
      <c r="L412" s="240"/>
      <c r="M412" s="241"/>
      <c r="N412" s="178"/>
      <c r="O412" s="242"/>
      <c r="P412" s="243"/>
    </row>
    <row r="413" spans="2:16" ht="12.75">
      <c r="B413" s="238"/>
      <c r="H413" s="155"/>
      <c r="I413" s="239"/>
      <c r="L413" s="240"/>
      <c r="M413" s="241"/>
      <c r="N413" s="178"/>
      <c r="O413" s="242"/>
      <c r="P413" s="243"/>
    </row>
    <row r="414" spans="2:16" ht="12.75">
      <c r="B414" s="238"/>
      <c r="H414" s="155"/>
      <c r="I414" s="239"/>
      <c r="L414" s="240"/>
      <c r="M414" s="241"/>
      <c r="N414" s="178"/>
      <c r="O414" s="242"/>
      <c r="P414" s="243"/>
    </row>
    <row r="415" spans="2:16" ht="12.75">
      <c r="B415" s="238"/>
      <c r="H415" s="155"/>
      <c r="I415" s="239"/>
      <c r="L415" s="240"/>
      <c r="M415" s="241"/>
      <c r="N415" s="178"/>
      <c r="O415" s="242"/>
      <c r="P415" s="243"/>
    </row>
    <row r="416" spans="2:16" ht="12.75">
      <c r="B416" s="238"/>
      <c r="H416" s="155"/>
      <c r="I416" s="239"/>
      <c r="L416" s="240"/>
      <c r="M416" s="241"/>
      <c r="N416" s="178"/>
      <c r="O416" s="242"/>
      <c r="P416" s="243"/>
    </row>
    <row r="417" spans="2:16" ht="12.75">
      <c r="B417" s="238"/>
      <c r="H417" s="155"/>
      <c r="I417" s="239"/>
      <c r="L417" s="240"/>
      <c r="M417" s="241"/>
      <c r="N417" s="178"/>
      <c r="O417" s="242"/>
      <c r="P417" s="243"/>
    </row>
    <row r="418" spans="2:16" ht="12.75">
      <c r="B418" s="238"/>
      <c r="H418" s="155"/>
      <c r="I418" s="239"/>
      <c r="L418" s="240"/>
      <c r="M418" s="241"/>
      <c r="N418" s="178"/>
      <c r="O418" s="242"/>
      <c r="P418" s="243"/>
    </row>
    <row r="419" spans="2:16" ht="12.75">
      <c r="B419" s="238"/>
      <c r="H419" s="155"/>
      <c r="I419" s="239"/>
      <c r="L419" s="240"/>
      <c r="M419" s="241"/>
      <c r="N419" s="178"/>
      <c r="O419" s="242"/>
      <c r="P419" s="243"/>
    </row>
    <row r="420" spans="2:16" ht="12.75">
      <c r="B420" s="238"/>
      <c r="H420" s="155"/>
      <c r="I420" s="239"/>
      <c r="L420" s="240"/>
      <c r="M420" s="241"/>
      <c r="N420" s="178"/>
      <c r="O420" s="242"/>
      <c r="P420" s="243"/>
    </row>
    <row r="421" spans="2:16" ht="12.75">
      <c r="B421" s="238"/>
      <c r="H421" s="155"/>
      <c r="I421" s="239"/>
      <c r="L421" s="240"/>
      <c r="M421" s="241"/>
      <c r="N421" s="178"/>
      <c r="O421" s="242"/>
      <c r="P421" s="243"/>
    </row>
    <row r="422" spans="2:16" ht="12.75">
      <c r="B422" s="238"/>
      <c r="H422" s="155"/>
      <c r="I422" s="239"/>
      <c r="L422" s="240"/>
      <c r="M422" s="241"/>
      <c r="N422" s="178"/>
      <c r="O422" s="242"/>
      <c r="P422" s="243"/>
    </row>
    <row r="423" spans="2:16" ht="12.75">
      <c r="B423" s="238"/>
      <c r="H423" s="155"/>
      <c r="I423" s="239"/>
      <c r="L423" s="240"/>
      <c r="M423" s="241"/>
      <c r="N423" s="178"/>
      <c r="O423" s="242"/>
      <c r="P423" s="243"/>
    </row>
    <row r="424" spans="2:16" ht="12.75">
      <c r="B424" s="238"/>
      <c r="H424" s="155"/>
      <c r="I424" s="239"/>
      <c r="L424" s="240"/>
      <c r="M424" s="241"/>
      <c r="N424" s="178"/>
      <c r="O424" s="242"/>
      <c r="P424" s="243"/>
    </row>
    <row r="425" spans="2:16" ht="12.75">
      <c r="B425" s="238"/>
      <c r="H425" s="155"/>
      <c r="I425" s="239"/>
      <c r="L425" s="240"/>
      <c r="M425" s="241"/>
      <c r="N425" s="178"/>
      <c r="O425" s="242"/>
      <c r="P425" s="243"/>
    </row>
    <row r="426" spans="2:16" ht="12.75">
      <c r="B426" s="238"/>
      <c r="H426" s="155"/>
      <c r="I426" s="239"/>
      <c r="L426" s="240"/>
      <c r="M426" s="241"/>
      <c r="N426" s="178"/>
      <c r="O426" s="242"/>
      <c r="P426" s="243"/>
    </row>
    <row r="427" spans="2:16" ht="12.75">
      <c r="B427" s="238"/>
      <c r="H427" s="155"/>
      <c r="I427" s="239"/>
      <c r="L427" s="240"/>
      <c r="M427" s="241"/>
      <c r="N427" s="178"/>
      <c r="O427" s="242"/>
      <c r="P427" s="243"/>
    </row>
    <row r="428" spans="2:16" ht="12.75">
      <c r="B428" s="238"/>
      <c r="H428" s="155"/>
      <c r="I428" s="239"/>
      <c r="L428" s="240"/>
      <c r="M428" s="241"/>
      <c r="N428" s="178"/>
      <c r="O428" s="242"/>
      <c r="P428" s="243"/>
    </row>
    <row r="429" spans="2:16" ht="12.75">
      <c r="B429" s="238"/>
      <c r="H429" s="155"/>
      <c r="I429" s="239"/>
      <c r="L429" s="240"/>
      <c r="M429" s="241"/>
      <c r="N429" s="178"/>
      <c r="O429" s="242"/>
      <c r="P429" s="243"/>
    </row>
    <row r="430" spans="2:16" ht="12.75">
      <c r="B430" s="238"/>
      <c r="H430" s="155"/>
      <c r="I430" s="239"/>
      <c r="L430" s="240"/>
      <c r="M430" s="241"/>
      <c r="N430" s="178"/>
      <c r="O430" s="242"/>
      <c r="P430" s="243"/>
    </row>
    <row r="431" spans="2:16" ht="12.75">
      <c r="B431" s="238"/>
      <c r="H431" s="155"/>
      <c r="I431" s="239"/>
      <c r="L431" s="240"/>
      <c r="M431" s="241"/>
      <c r="N431" s="178"/>
      <c r="O431" s="242"/>
      <c r="P431" s="243"/>
    </row>
    <row r="432" spans="2:16" ht="12.75">
      <c r="B432" s="238"/>
      <c r="H432" s="155"/>
      <c r="I432" s="239"/>
      <c r="L432" s="240"/>
      <c r="M432" s="241"/>
      <c r="N432" s="178"/>
      <c r="O432" s="242"/>
      <c r="P432" s="243"/>
    </row>
    <row r="433" spans="2:16" ht="12.75">
      <c r="B433" s="238"/>
      <c r="H433" s="155"/>
      <c r="I433" s="239"/>
      <c r="L433" s="240"/>
      <c r="M433" s="241"/>
      <c r="N433" s="178"/>
      <c r="O433" s="242"/>
      <c r="P433" s="243"/>
    </row>
    <row r="434" spans="2:16" ht="12.75">
      <c r="B434" s="238"/>
      <c r="H434" s="155"/>
      <c r="I434" s="239"/>
      <c r="L434" s="240"/>
      <c r="M434" s="241"/>
      <c r="N434" s="178"/>
      <c r="O434" s="242"/>
      <c r="P434" s="243"/>
    </row>
    <row r="435" spans="2:16" ht="12.75">
      <c r="B435" s="238"/>
      <c r="H435" s="155"/>
      <c r="I435" s="239"/>
      <c r="L435" s="240"/>
      <c r="M435" s="241"/>
      <c r="N435" s="178"/>
      <c r="O435" s="242"/>
      <c r="P435" s="243"/>
    </row>
    <row r="436" spans="2:16" ht="12.75">
      <c r="B436" s="238"/>
      <c r="H436" s="155"/>
      <c r="I436" s="239"/>
      <c r="L436" s="240"/>
      <c r="M436" s="241"/>
      <c r="N436" s="178"/>
      <c r="O436" s="242"/>
      <c r="P436" s="243"/>
    </row>
    <row r="437" spans="2:16" ht="12.75">
      <c r="B437" s="238"/>
      <c r="H437" s="155"/>
      <c r="I437" s="239"/>
      <c r="L437" s="240"/>
      <c r="M437" s="241"/>
      <c r="N437" s="178"/>
      <c r="O437" s="242"/>
      <c r="P437" s="243"/>
    </row>
    <row r="438" spans="2:16" ht="12.75">
      <c r="B438" s="238"/>
      <c r="H438" s="155"/>
      <c r="I438" s="239"/>
      <c r="L438" s="240"/>
      <c r="M438" s="241"/>
      <c r="N438" s="178"/>
      <c r="O438" s="242"/>
      <c r="P438" s="243"/>
    </row>
    <row r="439" spans="2:16" ht="12.75">
      <c r="B439" s="238"/>
      <c r="H439" s="155"/>
      <c r="I439" s="239"/>
      <c r="L439" s="240"/>
      <c r="M439" s="241"/>
      <c r="N439" s="178"/>
      <c r="O439" s="242"/>
      <c r="P439" s="243"/>
    </row>
    <row r="440" spans="2:16" ht="12.75">
      <c r="B440" s="238"/>
      <c r="H440" s="155"/>
      <c r="I440" s="239"/>
      <c r="L440" s="240"/>
      <c r="M440" s="241"/>
      <c r="N440" s="178"/>
      <c r="O440" s="242"/>
      <c r="P440" s="243"/>
    </row>
    <row r="441" spans="2:16" ht="12.75">
      <c r="B441" s="238"/>
      <c r="H441" s="155"/>
      <c r="I441" s="239"/>
      <c r="L441" s="240"/>
      <c r="M441" s="241"/>
      <c r="N441" s="178"/>
      <c r="O441" s="242"/>
      <c r="P441" s="243"/>
    </row>
    <row r="442" spans="2:16" ht="12.75">
      <c r="B442" s="238"/>
      <c r="H442" s="155"/>
      <c r="I442" s="239"/>
      <c r="L442" s="240"/>
      <c r="M442" s="241"/>
      <c r="N442" s="178"/>
      <c r="O442" s="242"/>
      <c r="P442" s="243"/>
    </row>
    <row r="443" spans="2:16" ht="12.75">
      <c r="B443" s="238"/>
      <c r="H443" s="155"/>
      <c r="I443" s="239"/>
      <c r="L443" s="240"/>
      <c r="M443" s="241"/>
      <c r="N443" s="178"/>
      <c r="O443" s="242"/>
      <c r="P443" s="243"/>
    </row>
    <row r="444" spans="2:16" ht="12.75">
      <c r="B444" s="238"/>
      <c r="H444" s="155"/>
      <c r="I444" s="239"/>
      <c r="L444" s="240"/>
      <c r="M444" s="241"/>
      <c r="N444" s="178"/>
      <c r="O444" s="242"/>
      <c r="P444" s="243"/>
    </row>
    <row r="445" spans="2:16" ht="12.75">
      <c r="B445" s="238"/>
      <c r="H445" s="155"/>
      <c r="I445" s="239"/>
      <c r="L445" s="240"/>
      <c r="M445" s="241"/>
      <c r="N445" s="178"/>
      <c r="O445" s="242"/>
      <c r="P445" s="243"/>
    </row>
    <row r="446" spans="2:16" ht="12.75">
      <c r="B446" s="238"/>
      <c r="H446" s="155"/>
      <c r="I446" s="239"/>
      <c r="L446" s="240"/>
      <c r="M446" s="241"/>
      <c r="N446" s="178"/>
      <c r="O446" s="242"/>
      <c r="P446" s="243"/>
    </row>
    <row r="447" spans="2:16" ht="12.75">
      <c r="B447" s="238"/>
      <c r="H447" s="155"/>
      <c r="I447" s="239"/>
      <c r="L447" s="240"/>
      <c r="M447" s="241"/>
      <c r="N447" s="178"/>
      <c r="O447" s="242"/>
      <c r="P447" s="243"/>
    </row>
    <row r="448" spans="2:16" ht="12.75">
      <c r="B448" s="238"/>
      <c r="H448" s="155"/>
      <c r="I448" s="239"/>
      <c r="L448" s="240"/>
      <c r="M448" s="241"/>
      <c r="N448" s="178"/>
      <c r="O448" s="242"/>
      <c r="P448" s="243"/>
    </row>
    <row r="449" spans="2:16" ht="12.75">
      <c r="B449" s="238"/>
      <c r="H449" s="155"/>
      <c r="I449" s="239"/>
      <c r="L449" s="240"/>
      <c r="M449" s="241"/>
      <c r="N449" s="178"/>
      <c r="O449" s="242"/>
      <c r="P449" s="243"/>
    </row>
    <row r="450" spans="2:16" ht="12.75">
      <c r="B450" s="238"/>
      <c r="H450" s="155"/>
      <c r="I450" s="239"/>
      <c r="L450" s="240"/>
      <c r="M450" s="241"/>
      <c r="N450" s="178"/>
      <c r="O450" s="242"/>
      <c r="P450" s="243"/>
    </row>
    <row r="451" spans="2:16" ht="12.75">
      <c r="B451" s="238"/>
      <c r="H451" s="155"/>
      <c r="I451" s="239"/>
      <c r="L451" s="240"/>
      <c r="M451" s="241"/>
      <c r="N451" s="178"/>
      <c r="O451" s="242"/>
      <c r="P451" s="243"/>
    </row>
    <row r="452" spans="2:16" ht="12.75">
      <c r="B452" s="238"/>
      <c r="H452" s="155"/>
      <c r="I452" s="239"/>
      <c r="L452" s="240"/>
      <c r="M452" s="241"/>
      <c r="N452" s="178"/>
      <c r="O452" s="242"/>
      <c r="P452" s="243"/>
    </row>
    <row r="453" spans="2:16" ht="12.75">
      <c r="B453" s="238"/>
      <c r="H453" s="155"/>
      <c r="I453" s="239"/>
      <c r="L453" s="240"/>
      <c r="M453" s="241"/>
      <c r="N453" s="178"/>
      <c r="O453" s="242"/>
      <c r="P453" s="243"/>
    </row>
    <row r="454" spans="2:16" ht="12.75">
      <c r="B454" s="238"/>
      <c r="H454" s="155"/>
      <c r="I454" s="239"/>
      <c r="L454" s="240"/>
      <c r="M454" s="241"/>
      <c r="N454" s="178"/>
      <c r="O454" s="242"/>
      <c r="P454" s="243"/>
    </row>
    <row r="455" spans="2:16" ht="12.75">
      <c r="B455" s="238"/>
      <c r="H455" s="155"/>
      <c r="I455" s="239"/>
      <c r="L455" s="240"/>
      <c r="M455" s="241"/>
      <c r="N455" s="178"/>
      <c r="O455" s="242"/>
      <c r="P455" s="243"/>
    </row>
    <row r="456" spans="2:16" ht="12.75">
      <c r="B456" s="238"/>
      <c r="H456" s="155"/>
      <c r="I456" s="239"/>
      <c r="L456" s="240"/>
      <c r="M456" s="241"/>
      <c r="N456" s="178"/>
      <c r="O456" s="242"/>
      <c r="P456" s="243"/>
    </row>
    <row r="457" spans="2:16" ht="12.75">
      <c r="B457" s="238"/>
      <c r="H457" s="155"/>
      <c r="I457" s="239"/>
      <c r="L457" s="240"/>
      <c r="M457" s="241"/>
      <c r="N457" s="178"/>
      <c r="O457" s="242"/>
      <c r="P457" s="243"/>
    </row>
    <row r="458" spans="2:16" ht="12.75">
      <c r="B458" s="238"/>
      <c r="H458" s="155"/>
      <c r="I458" s="239"/>
      <c r="L458" s="240"/>
      <c r="M458" s="241"/>
      <c r="N458" s="178"/>
      <c r="O458" s="242"/>
      <c r="P458" s="243"/>
    </row>
    <row r="459" spans="2:16" ht="12.75">
      <c r="B459" s="238"/>
      <c r="H459" s="155"/>
      <c r="I459" s="239"/>
      <c r="L459" s="240"/>
      <c r="M459" s="241"/>
      <c r="N459" s="178"/>
      <c r="O459" s="242"/>
      <c r="P459" s="243"/>
    </row>
    <row r="460" spans="2:16" ht="12.75">
      <c r="B460" s="238"/>
      <c r="H460" s="155"/>
      <c r="I460" s="239"/>
      <c r="L460" s="240"/>
      <c r="M460" s="241"/>
      <c r="N460" s="178"/>
      <c r="O460" s="242"/>
      <c r="P460" s="243"/>
    </row>
    <row r="461" spans="2:16" ht="12.75">
      <c r="B461" s="238"/>
      <c r="H461" s="155"/>
      <c r="I461" s="239"/>
      <c r="L461" s="240"/>
      <c r="M461" s="241"/>
      <c r="N461" s="178"/>
      <c r="O461" s="242"/>
      <c r="P461" s="243"/>
    </row>
    <row r="462" spans="2:16" ht="12.75">
      <c r="B462" s="238"/>
      <c r="H462" s="155"/>
      <c r="I462" s="239"/>
      <c r="L462" s="240"/>
      <c r="M462" s="241"/>
      <c r="N462" s="178"/>
      <c r="O462" s="242"/>
      <c r="P462" s="243"/>
    </row>
    <row r="463" spans="2:16" ht="12.75">
      <c r="B463" s="238"/>
      <c r="H463" s="155"/>
      <c r="I463" s="239"/>
      <c r="L463" s="240"/>
      <c r="M463" s="241"/>
      <c r="N463" s="178"/>
      <c r="O463" s="242"/>
      <c r="P463" s="243"/>
    </row>
    <row r="464" spans="2:16" ht="12.75">
      <c r="B464" s="238"/>
      <c r="H464" s="155"/>
      <c r="I464" s="239"/>
      <c r="L464" s="240"/>
      <c r="M464" s="241"/>
      <c r="N464" s="178"/>
      <c r="O464" s="242"/>
      <c r="P464" s="243"/>
    </row>
    <row r="465" spans="2:16" ht="12.75">
      <c r="B465" s="238"/>
      <c r="H465" s="155"/>
      <c r="I465" s="239"/>
      <c r="L465" s="240"/>
      <c r="M465" s="241"/>
      <c r="N465" s="178"/>
      <c r="O465" s="242"/>
      <c r="P465" s="243"/>
    </row>
    <row r="466" spans="2:16" ht="12.75">
      <c r="B466" s="238"/>
      <c r="H466" s="155"/>
      <c r="I466" s="239"/>
      <c r="L466" s="240"/>
      <c r="M466" s="241"/>
      <c r="N466" s="178"/>
      <c r="O466" s="242"/>
      <c r="P466" s="243"/>
    </row>
    <row r="467" spans="2:16" ht="12.75">
      <c r="B467" s="238"/>
      <c r="H467" s="155"/>
      <c r="I467" s="239"/>
      <c r="L467" s="240"/>
      <c r="M467" s="241"/>
      <c r="N467" s="178"/>
      <c r="O467" s="242"/>
      <c r="P467" s="243"/>
    </row>
    <row r="468" spans="2:16" ht="12.75">
      <c r="B468" s="238"/>
      <c r="H468" s="155"/>
      <c r="I468" s="239"/>
      <c r="L468" s="240"/>
      <c r="M468" s="241"/>
      <c r="N468" s="178"/>
      <c r="O468" s="242"/>
      <c r="P468" s="243"/>
    </row>
    <row r="469" spans="2:16" ht="12.75">
      <c r="B469" s="238"/>
      <c r="H469" s="155"/>
      <c r="I469" s="239"/>
      <c r="L469" s="240"/>
      <c r="M469" s="241"/>
      <c r="N469" s="178"/>
      <c r="O469" s="242"/>
      <c r="P469" s="243"/>
    </row>
    <row r="470" spans="2:16" ht="12.75">
      <c r="B470" s="238"/>
      <c r="H470" s="155"/>
      <c r="I470" s="239"/>
      <c r="L470" s="240"/>
      <c r="M470" s="241"/>
      <c r="N470" s="178"/>
      <c r="O470" s="242"/>
      <c r="P470" s="243"/>
    </row>
    <row r="471" spans="2:16" ht="12.75">
      <c r="B471" s="238"/>
      <c r="H471" s="155"/>
      <c r="I471" s="239"/>
      <c r="L471" s="240"/>
      <c r="M471" s="241"/>
      <c r="N471" s="178"/>
      <c r="O471" s="242"/>
      <c r="P471" s="243"/>
    </row>
    <row r="472" spans="2:16" ht="12.75">
      <c r="B472" s="238"/>
      <c r="H472" s="155"/>
      <c r="I472" s="239"/>
      <c r="L472" s="240"/>
      <c r="M472" s="241"/>
      <c r="N472" s="178"/>
      <c r="O472" s="242"/>
      <c r="P472" s="243"/>
    </row>
    <row r="473" spans="2:16" ht="12.75">
      <c r="B473" s="238"/>
      <c r="H473" s="155"/>
      <c r="I473" s="239"/>
      <c r="L473" s="240"/>
      <c r="M473" s="241"/>
      <c r="N473" s="178"/>
      <c r="O473" s="242"/>
      <c r="P473" s="243"/>
    </row>
    <row r="474" spans="2:16" ht="12.75">
      <c r="B474" s="238"/>
      <c r="H474" s="155"/>
      <c r="I474" s="239"/>
      <c r="L474" s="240"/>
      <c r="M474" s="241"/>
      <c r="N474" s="178"/>
      <c r="O474" s="242"/>
      <c r="P474" s="243"/>
    </row>
    <row r="475" spans="2:16" ht="12.75">
      <c r="B475" s="238"/>
      <c r="H475" s="155"/>
      <c r="I475" s="239"/>
      <c r="L475" s="240"/>
      <c r="M475" s="241"/>
      <c r="N475" s="178"/>
      <c r="O475" s="242"/>
      <c r="P475" s="243"/>
    </row>
    <row r="476" spans="2:16" ht="12.75">
      <c r="B476" s="238"/>
      <c r="H476" s="155"/>
      <c r="I476" s="239"/>
      <c r="L476" s="240"/>
      <c r="M476" s="241"/>
      <c r="N476" s="178"/>
      <c r="O476" s="242"/>
      <c r="P476" s="243"/>
    </row>
    <row r="477" spans="2:16" ht="12.75">
      <c r="B477" s="238"/>
      <c r="H477" s="155"/>
      <c r="I477" s="239"/>
      <c r="L477" s="240"/>
      <c r="M477" s="241"/>
      <c r="N477" s="178"/>
      <c r="O477" s="242"/>
      <c r="P477" s="243"/>
    </row>
    <row r="478" spans="2:16" ht="12.75">
      <c r="B478" s="238"/>
      <c r="H478" s="155"/>
      <c r="I478" s="239"/>
      <c r="L478" s="240"/>
      <c r="M478" s="241"/>
      <c r="N478" s="178"/>
      <c r="O478" s="242"/>
      <c r="P478" s="243"/>
    </row>
    <row r="479" spans="2:16" ht="12.75">
      <c r="B479" s="238"/>
      <c r="H479" s="155"/>
      <c r="I479" s="239"/>
      <c r="L479" s="240"/>
      <c r="M479" s="241"/>
      <c r="N479" s="178"/>
      <c r="O479" s="242"/>
      <c r="P479" s="243"/>
    </row>
    <row r="480" spans="2:16" ht="12.75">
      <c r="B480" s="238"/>
      <c r="H480" s="155"/>
      <c r="I480" s="239"/>
      <c r="L480" s="240"/>
      <c r="M480" s="241"/>
      <c r="N480" s="178"/>
      <c r="O480" s="242"/>
      <c r="P480" s="243"/>
    </row>
    <row r="481" spans="2:16" ht="12.75">
      <c r="B481" s="238"/>
      <c r="H481" s="155"/>
      <c r="I481" s="239"/>
      <c r="L481" s="240"/>
      <c r="M481" s="241"/>
      <c r="N481" s="178"/>
      <c r="O481" s="242"/>
      <c r="P481" s="243"/>
    </row>
    <row r="482" spans="2:16" ht="12.75">
      <c r="B482" s="238"/>
      <c r="H482" s="155"/>
      <c r="I482" s="239"/>
      <c r="L482" s="240"/>
      <c r="M482" s="241"/>
      <c r="N482" s="178"/>
      <c r="O482" s="242"/>
      <c r="P482" s="243"/>
    </row>
    <row r="483" spans="2:16" ht="12.75">
      <c r="B483" s="238"/>
      <c r="H483" s="155"/>
      <c r="I483" s="239"/>
      <c r="L483" s="240"/>
      <c r="M483" s="241"/>
      <c r="N483" s="178"/>
      <c r="O483" s="242"/>
      <c r="P483" s="243"/>
    </row>
    <row r="484" spans="2:16" ht="12.75">
      <c r="B484" s="238"/>
      <c r="H484" s="155"/>
      <c r="I484" s="239"/>
      <c r="L484" s="240"/>
      <c r="M484" s="241"/>
      <c r="N484" s="178"/>
      <c r="O484" s="242"/>
      <c r="P484" s="243"/>
    </row>
    <row r="485" spans="2:16" ht="12.75">
      <c r="B485" s="238"/>
      <c r="H485" s="155"/>
      <c r="I485" s="239"/>
      <c r="L485" s="240"/>
      <c r="M485" s="241"/>
      <c r="N485" s="178"/>
      <c r="O485" s="242"/>
      <c r="P485" s="243"/>
    </row>
    <row r="486" spans="2:16" ht="12.75">
      <c r="B486" s="238"/>
      <c r="H486" s="155"/>
      <c r="I486" s="239"/>
      <c r="L486" s="240"/>
      <c r="M486" s="241"/>
      <c r="N486" s="178"/>
      <c r="O486" s="242"/>
      <c r="P486" s="243"/>
    </row>
    <row r="487" spans="2:16" ht="12.75">
      <c r="B487" s="238"/>
      <c r="H487" s="155"/>
      <c r="I487" s="239"/>
      <c r="L487" s="240"/>
      <c r="M487" s="241"/>
      <c r="N487" s="178"/>
      <c r="O487" s="242"/>
      <c r="P487" s="243"/>
    </row>
    <row r="488" spans="2:16" ht="12.75">
      <c r="B488" s="238"/>
      <c r="H488" s="155"/>
      <c r="I488" s="239"/>
      <c r="L488" s="240"/>
      <c r="M488" s="241"/>
      <c r="N488" s="178"/>
      <c r="O488" s="242"/>
      <c r="P488" s="243"/>
    </row>
    <row r="489" spans="2:16" ht="12.75">
      <c r="B489" s="238"/>
      <c r="H489" s="155"/>
      <c r="I489" s="239"/>
      <c r="L489" s="240"/>
      <c r="M489" s="241"/>
      <c r="N489" s="178"/>
      <c r="O489" s="242"/>
      <c r="P489" s="243"/>
    </row>
    <row r="490" spans="2:16" ht="12.75">
      <c r="B490" s="238"/>
      <c r="H490" s="155"/>
      <c r="I490" s="239"/>
      <c r="L490" s="240"/>
      <c r="M490" s="241"/>
      <c r="N490" s="178"/>
      <c r="O490" s="242"/>
      <c r="P490" s="243"/>
    </row>
    <row r="491" spans="2:16" ht="12.75">
      <c r="B491" s="238"/>
      <c r="H491" s="155"/>
      <c r="I491" s="239"/>
      <c r="L491" s="240"/>
      <c r="M491" s="241"/>
      <c r="N491" s="178"/>
      <c r="O491" s="242"/>
      <c r="P491" s="243"/>
    </row>
    <row r="492" spans="2:16" ht="12.75">
      <c r="B492" s="238"/>
      <c r="H492" s="155"/>
      <c r="I492" s="239"/>
      <c r="L492" s="240"/>
      <c r="M492" s="241"/>
      <c r="N492" s="178"/>
      <c r="O492" s="242"/>
      <c r="P492" s="243"/>
    </row>
    <row r="493" spans="2:16" ht="12.75">
      <c r="B493" s="238"/>
      <c r="H493" s="155"/>
      <c r="I493" s="239"/>
      <c r="L493" s="240"/>
      <c r="M493" s="241"/>
      <c r="N493" s="178"/>
      <c r="O493" s="242"/>
      <c r="P493" s="243"/>
    </row>
    <row r="494" spans="2:16" ht="12.75">
      <c r="B494" s="238"/>
      <c r="H494" s="155"/>
      <c r="I494" s="239"/>
      <c r="L494" s="240"/>
      <c r="M494" s="241"/>
      <c r="N494" s="178"/>
      <c r="O494" s="242"/>
      <c r="P494" s="243"/>
    </row>
    <row r="495" spans="2:16" ht="12.75">
      <c r="B495" s="238"/>
      <c r="H495" s="155"/>
      <c r="I495" s="239"/>
      <c r="L495" s="240"/>
      <c r="M495" s="241"/>
      <c r="N495" s="178"/>
      <c r="O495" s="242"/>
      <c r="P495" s="243"/>
    </row>
    <row r="496" spans="2:16" ht="12.75">
      <c r="B496" s="238"/>
      <c r="H496" s="155"/>
      <c r="I496" s="239"/>
      <c r="L496" s="240"/>
      <c r="M496" s="241"/>
      <c r="N496" s="178"/>
      <c r="O496" s="242"/>
      <c r="P496" s="243"/>
    </row>
    <row r="497" spans="2:16" ht="12.75">
      <c r="B497" s="238"/>
      <c r="H497" s="155"/>
      <c r="I497" s="239"/>
      <c r="L497" s="240"/>
      <c r="M497" s="241"/>
      <c r="N497" s="178"/>
      <c r="O497" s="242"/>
      <c r="P497" s="243"/>
    </row>
    <row r="498" spans="2:16" ht="12.75">
      <c r="B498" s="238"/>
      <c r="H498" s="155"/>
      <c r="I498" s="239"/>
      <c r="L498" s="240"/>
      <c r="M498" s="241"/>
      <c r="N498" s="178"/>
      <c r="O498" s="242"/>
      <c r="P498" s="243"/>
    </row>
    <row r="499" spans="2:16" ht="12.75">
      <c r="B499" s="238"/>
      <c r="H499" s="155"/>
      <c r="I499" s="239"/>
      <c r="L499" s="240"/>
      <c r="M499" s="241"/>
      <c r="N499" s="178"/>
      <c r="O499" s="242"/>
      <c r="P499" s="243"/>
    </row>
    <row r="500" spans="2:16" ht="12.75">
      <c r="B500" s="238"/>
      <c r="H500" s="155"/>
      <c r="I500" s="239"/>
      <c r="L500" s="240"/>
      <c r="M500" s="241"/>
      <c r="N500" s="178"/>
      <c r="O500" s="242"/>
      <c r="P500" s="243"/>
    </row>
    <row r="501" spans="2:16" ht="12.75">
      <c r="B501" s="238"/>
      <c r="H501" s="155"/>
      <c r="I501" s="239"/>
      <c r="L501" s="240"/>
      <c r="M501" s="241"/>
      <c r="N501" s="178"/>
      <c r="O501" s="242"/>
      <c r="P501" s="243"/>
    </row>
    <row r="502" spans="2:16" ht="12.75">
      <c r="B502" s="238"/>
      <c r="H502" s="155"/>
      <c r="I502" s="239"/>
      <c r="L502" s="240"/>
      <c r="M502" s="241"/>
      <c r="N502" s="178"/>
      <c r="O502" s="242"/>
      <c r="P502" s="243"/>
    </row>
    <row r="503" spans="2:16" ht="12.75">
      <c r="B503" s="238"/>
      <c r="H503" s="155"/>
      <c r="I503" s="239"/>
      <c r="L503" s="240"/>
      <c r="M503" s="241"/>
      <c r="N503" s="178"/>
      <c r="O503" s="242"/>
      <c r="P503" s="243"/>
    </row>
    <row r="504" spans="2:16" ht="12.75">
      <c r="B504" s="238"/>
      <c r="H504" s="155"/>
      <c r="I504" s="239"/>
      <c r="L504" s="240"/>
      <c r="M504" s="241"/>
      <c r="N504" s="178"/>
      <c r="O504" s="242"/>
      <c r="P504" s="243"/>
    </row>
    <row r="505" spans="2:16" ht="12.75">
      <c r="B505" s="238"/>
      <c r="H505" s="155"/>
      <c r="I505" s="239"/>
      <c r="L505" s="240"/>
      <c r="M505" s="241"/>
      <c r="N505" s="178"/>
      <c r="O505" s="242"/>
      <c r="P505" s="243"/>
    </row>
    <row r="506" spans="2:16" ht="12.75">
      <c r="B506" s="238"/>
      <c r="H506" s="155"/>
      <c r="I506" s="239"/>
      <c r="L506" s="240"/>
      <c r="M506" s="241"/>
      <c r="N506" s="178"/>
      <c r="O506" s="242"/>
      <c r="P506" s="243"/>
    </row>
    <row r="507" spans="2:16" ht="12.75">
      <c r="B507" s="238"/>
      <c r="H507" s="155"/>
      <c r="I507" s="239"/>
      <c r="L507" s="240"/>
      <c r="M507" s="241"/>
      <c r="N507" s="178"/>
      <c r="O507" s="242"/>
      <c r="P507" s="243"/>
    </row>
    <row r="508" spans="2:16" ht="12.75">
      <c r="B508" s="238"/>
      <c r="H508" s="155"/>
      <c r="I508" s="239"/>
      <c r="L508" s="240"/>
      <c r="M508" s="241"/>
      <c r="N508" s="178"/>
      <c r="O508" s="242"/>
      <c r="P508" s="243"/>
    </row>
    <row r="509" spans="2:16" ht="12.75">
      <c r="B509" s="238"/>
      <c r="H509" s="155"/>
      <c r="I509" s="239"/>
      <c r="L509" s="240"/>
      <c r="M509" s="241"/>
      <c r="N509" s="178"/>
      <c r="O509" s="242"/>
      <c r="P509" s="243"/>
    </row>
    <row r="510" spans="2:16" ht="12.75">
      <c r="B510" s="238"/>
      <c r="H510" s="155"/>
      <c r="I510" s="239"/>
      <c r="L510" s="240"/>
      <c r="M510" s="241"/>
      <c r="N510" s="178"/>
      <c r="O510" s="242"/>
      <c r="P510" s="243"/>
    </row>
    <row r="511" spans="2:16" ht="12.75">
      <c r="B511" s="238"/>
      <c r="H511" s="155"/>
      <c r="I511" s="239"/>
      <c r="L511" s="240"/>
      <c r="M511" s="241"/>
      <c r="N511" s="178"/>
      <c r="O511" s="242"/>
      <c r="P511" s="243"/>
    </row>
    <row r="512" spans="2:16" ht="12.75">
      <c r="B512" s="238"/>
      <c r="H512" s="155"/>
      <c r="I512" s="239"/>
      <c r="L512" s="240"/>
      <c r="M512" s="241"/>
      <c r="N512" s="178"/>
      <c r="O512" s="242"/>
      <c r="P512" s="243"/>
    </row>
    <row r="513" spans="2:16" ht="12.75">
      <c r="B513" s="238"/>
      <c r="H513" s="155"/>
      <c r="I513" s="239"/>
      <c r="L513" s="240"/>
      <c r="M513" s="241"/>
      <c r="N513" s="178"/>
      <c r="O513" s="242"/>
      <c r="P513" s="243"/>
    </row>
    <row r="514" spans="2:16" ht="12.75">
      <c r="B514" s="238"/>
      <c r="H514" s="155"/>
      <c r="I514" s="239"/>
      <c r="L514" s="240"/>
      <c r="M514" s="241"/>
      <c r="N514" s="178"/>
      <c r="O514" s="242"/>
      <c r="P514" s="243"/>
    </row>
    <row r="515" spans="2:16" ht="12.75">
      <c r="B515" s="238"/>
      <c r="H515" s="155"/>
      <c r="I515" s="239"/>
      <c r="L515" s="240"/>
      <c r="M515" s="241"/>
      <c r="N515" s="178"/>
      <c r="O515" s="242"/>
      <c r="P515" s="243"/>
    </row>
    <row r="516" spans="2:16" ht="12.75">
      <c r="B516" s="238"/>
      <c r="H516" s="155"/>
      <c r="I516" s="239"/>
      <c r="L516" s="240"/>
      <c r="M516" s="241"/>
      <c r="N516" s="178"/>
      <c r="O516" s="242"/>
      <c r="P516" s="243"/>
    </row>
    <row r="517" spans="2:16" ht="12.75">
      <c r="B517" s="238"/>
      <c r="H517" s="155"/>
      <c r="I517" s="239"/>
      <c r="L517" s="240"/>
      <c r="M517" s="241"/>
      <c r="N517" s="178"/>
      <c r="O517" s="242"/>
      <c r="P517" s="243"/>
    </row>
    <row r="518" spans="2:16" ht="12.75">
      <c r="B518" s="238"/>
      <c r="H518" s="155"/>
      <c r="I518" s="239"/>
      <c r="L518" s="240"/>
      <c r="M518" s="241"/>
      <c r="N518" s="178"/>
      <c r="O518" s="242"/>
      <c r="P518" s="243"/>
    </row>
    <row r="519" spans="2:16" ht="12.75">
      <c r="B519" s="238"/>
      <c r="H519" s="155"/>
      <c r="I519" s="239"/>
      <c r="L519" s="240"/>
      <c r="M519" s="241"/>
      <c r="N519" s="178"/>
      <c r="O519" s="242"/>
      <c r="P519" s="243"/>
    </row>
    <row r="520" spans="2:16" ht="12.75">
      <c r="B520" s="238"/>
      <c r="H520" s="155"/>
      <c r="I520" s="239"/>
      <c r="L520" s="240"/>
      <c r="M520" s="241"/>
      <c r="N520" s="178"/>
      <c r="O520" s="242"/>
      <c r="P520" s="243"/>
    </row>
    <row r="521" spans="2:16" ht="12.75">
      <c r="B521" s="238"/>
      <c r="H521" s="155"/>
      <c r="I521" s="239"/>
      <c r="L521" s="240"/>
      <c r="M521" s="241"/>
      <c r="N521" s="178"/>
      <c r="O521" s="242"/>
      <c r="P521" s="243"/>
    </row>
    <row r="522" spans="2:16" ht="12.75">
      <c r="B522" s="238"/>
      <c r="H522" s="155"/>
      <c r="I522" s="239"/>
      <c r="L522" s="240"/>
      <c r="M522" s="241"/>
      <c r="N522" s="178"/>
      <c r="O522" s="242"/>
      <c r="P522" s="243"/>
    </row>
    <row r="523" spans="2:16" ht="12.75">
      <c r="B523" s="238"/>
      <c r="H523" s="155"/>
      <c r="I523" s="239"/>
      <c r="L523" s="240"/>
      <c r="M523" s="241"/>
      <c r="N523" s="178"/>
      <c r="O523" s="242"/>
      <c r="P523" s="243"/>
    </row>
    <row r="524" spans="2:16" ht="12.75">
      <c r="B524" s="238"/>
      <c r="H524" s="155"/>
      <c r="I524" s="239"/>
      <c r="L524" s="240"/>
      <c r="M524" s="241"/>
      <c r="N524" s="178"/>
      <c r="O524" s="242"/>
      <c r="P524" s="243"/>
    </row>
    <row r="525" spans="2:16" ht="12.75">
      <c r="B525" s="238"/>
      <c r="H525" s="155"/>
      <c r="I525" s="239"/>
      <c r="L525" s="240"/>
      <c r="M525" s="241"/>
      <c r="N525" s="178"/>
      <c r="O525" s="242"/>
      <c r="P525" s="243"/>
    </row>
    <row r="526" spans="2:16" ht="12.75">
      <c r="B526" s="238"/>
      <c r="H526" s="155"/>
      <c r="I526" s="239"/>
      <c r="L526" s="240"/>
      <c r="M526" s="241"/>
      <c r="N526" s="178"/>
      <c r="O526" s="242"/>
      <c r="P526" s="243"/>
    </row>
    <row r="527" spans="2:16" ht="12.75">
      <c r="B527" s="238"/>
      <c r="H527" s="155"/>
      <c r="I527" s="239"/>
      <c r="L527" s="240"/>
      <c r="M527" s="241"/>
      <c r="N527" s="178"/>
      <c r="O527" s="242"/>
      <c r="P527" s="243"/>
    </row>
    <row r="528" spans="2:16" ht="12.75">
      <c r="B528" s="238"/>
      <c r="H528" s="155"/>
      <c r="I528" s="239"/>
      <c r="L528" s="240"/>
      <c r="M528" s="241"/>
      <c r="N528" s="178"/>
      <c r="O528" s="242"/>
      <c r="P528" s="243"/>
    </row>
    <row r="529" spans="2:16" ht="12.75">
      <c r="B529" s="238"/>
      <c r="H529" s="155"/>
      <c r="I529" s="239"/>
      <c r="L529" s="240"/>
      <c r="M529" s="241"/>
      <c r="N529" s="178"/>
      <c r="O529" s="242"/>
      <c r="P529" s="243"/>
    </row>
    <row r="530" spans="2:16" ht="12.75">
      <c r="B530" s="238"/>
      <c r="H530" s="155"/>
      <c r="I530" s="239"/>
      <c r="L530" s="240"/>
      <c r="M530" s="241"/>
      <c r="N530" s="178"/>
      <c r="O530" s="242"/>
      <c r="P530" s="243"/>
    </row>
    <row r="531" spans="2:16" ht="12.75">
      <c r="B531" s="238"/>
      <c r="H531" s="155"/>
      <c r="I531" s="239"/>
      <c r="L531" s="240"/>
      <c r="M531" s="241"/>
      <c r="N531" s="178"/>
      <c r="O531" s="242"/>
      <c r="P531" s="243"/>
    </row>
    <row r="532" spans="2:16" ht="12.75">
      <c r="B532" s="238"/>
      <c r="H532" s="155"/>
      <c r="I532" s="239"/>
      <c r="L532" s="240"/>
      <c r="M532" s="241"/>
      <c r="N532" s="178"/>
      <c r="O532" s="242"/>
      <c r="P532" s="243"/>
    </row>
    <row r="533" spans="2:16" ht="12.75">
      <c r="B533" s="238"/>
      <c r="H533" s="155"/>
      <c r="I533" s="239"/>
      <c r="L533" s="240"/>
      <c r="M533" s="241"/>
      <c r="N533" s="178"/>
      <c r="O533" s="242"/>
      <c r="P533" s="243"/>
    </row>
    <row r="534" spans="2:16" ht="12.75">
      <c r="B534" s="238"/>
      <c r="H534" s="155"/>
      <c r="I534" s="239"/>
      <c r="L534" s="240"/>
      <c r="M534" s="241"/>
      <c r="N534" s="178"/>
      <c r="O534" s="242"/>
      <c r="P534" s="243"/>
    </row>
    <row r="535" spans="2:16" ht="12.75">
      <c r="B535" s="238"/>
      <c r="H535" s="155"/>
      <c r="I535" s="239"/>
      <c r="L535" s="240"/>
      <c r="M535" s="241"/>
      <c r="N535" s="178"/>
      <c r="O535" s="242"/>
      <c r="P535" s="243"/>
    </row>
    <row r="536" spans="2:16" ht="12.75">
      <c r="B536" s="238"/>
      <c r="H536" s="155"/>
      <c r="I536" s="239"/>
      <c r="L536" s="240"/>
      <c r="M536" s="241"/>
      <c r="N536" s="178"/>
      <c r="O536" s="242"/>
      <c r="P536" s="243"/>
    </row>
    <row r="537" spans="2:16" ht="12.75">
      <c r="B537" s="238"/>
      <c r="H537" s="155"/>
      <c r="I537" s="239"/>
      <c r="L537" s="240"/>
      <c r="M537" s="241"/>
      <c r="N537" s="178"/>
      <c r="O537" s="242"/>
      <c r="P537" s="243"/>
    </row>
    <row r="538" spans="2:16" ht="12.75">
      <c r="B538" s="238"/>
      <c r="H538" s="155"/>
      <c r="I538" s="239"/>
      <c r="L538" s="240"/>
      <c r="M538" s="241"/>
      <c r="N538" s="178"/>
      <c r="O538" s="242"/>
      <c r="P538" s="243"/>
    </row>
    <row r="539" spans="2:16" ht="12.75">
      <c r="B539" s="238"/>
      <c r="H539" s="155"/>
      <c r="I539" s="239"/>
      <c r="L539" s="240"/>
      <c r="M539" s="241"/>
      <c r="N539" s="178"/>
      <c r="O539" s="242"/>
      <c r="P539" s="243"/>
    </row>
    <row r="540" spans="2:16" ht="12.75">
      <c r="B540" s="238"/>
      <c r="H540" s="155"/>
      <c r="I540" s="239"/>
      <c r="L540" s="240"/>
      <c r="M540" s="241"/>
      <c r="N540" s="178"/>
      <c r="O540" s="242"/>
      <c r="P540" s="243"/>
    </row>
    <row r="541" spans="2:16" ht="12.75">
      <c r="B541" s="238"/>
      <c r="H541" s="155"/>
      <c r="I541" s="239"/>
      <c r="L541" s="240"/>
      <c r="M541" s="241"/>
      <c r="N541" s="178"/>
      <c r="O541" s="242"/>
      <c r="P541" s="243"/>
    </row>
    <row r="542" spans="2:16" ht="12.75">
      <c r="B542" s="238"/>
      <c r="H542" s="155"/>
      <c r="I542" s="239"/>
      <c r="L542" s="240"/>
      <c r="M542" s="241"/>
      <c r="N542" s="178"/>
      <c r="O542" s="242"/>
      <c r="P542" s="243"/>
    </row>
    <row r="543" spans="2:16" ht="12.75">
      <c r="B543" s="238"/>
      <c r="H543" s="155"/>
      <c r="I543" s="239"/>
      <c r="L543" s="240"/>
      <c r="M543" s="241"/>
      <c r="N543" s="178"/>
      <c r="O543" s="242"/>
      <c r="P543" s="243"/>
    </row>
    <row r="544" spans="2:16" ht="12.75">
      <c r="B544" s="238"/>
      <c r="H544" s="155"/>
      <c r="I544" s="239"/>
      <c r="L544" s="240"/>
      <c r="M544" s="241"/>
      <c r="N544" s="178"/>
      <c r="O544" s="242"/>
      <c r="P544" s="243"/>
    </row>
    <row r="545" spans="2:16" ht="12.75">
      <c r="B545" s="238"/>
      <c r="H545" s="155"/>
      <c r="I545" s="239"/>
      <c r="L545" s="240"/>
      <c r="M545" s="241"/>
      <c r="N545" s="178"/>
      <c r="O545" s="242"/>
      <c r="P545" s="243"/>
    </row>
    <row r="546" spans="2:16" ht="12.75">
      <c r="B546" s="238"/>
      <c r="H546" s="155"/>
      <c r="I546" s="239"/>
      <c r="L546" s="240"/>
      <c r="M546" s="241"/>
      <c r="N546" s="178"/>
      <c r="O546" s="242"/>
      <c r="P546" s="243"/>
    </row>
    <row r="547" spans="2:16" ht="12.75">
      <c r="B547" s="238"/>
      <c r="H547" s="155"/>
      <c r="I547" s="239"/>
      <c r="L547" s="240"/>
      <c r="M547" s="241"/>
      <c r="N547" s="178"/>
      <c r="O547" s="242"/>
      <c r="P547" s="243"/>
    </row>
    <row r="548" spans="2:16" ht="12.75">
      <c r="B548" s="238"/>
      <c r="H548" s="155"/>
      <c r="I548" s="239"/>
      <c r="L548" s="240"/>
      <c r="M548" s="241"/>
      <c r="N548" s="178"/>
      <c r="O548" s="242"/>
      <c r="P548" s="243"/>
    </row>
    <row r="549" spans="2:16" ht="12.75">
      <c r="B549" s="238"/>
      <c r="H549" s="155"/>
      <c r="I549" s="239"/>
      <c r="L549" s="240"/>
      <c r="M549" s="241"/>
      <c r="N549" s="178"/>
      <c r="O549" s="242"/>
      <c r="P549" s="243"/>
    </row>
    <row r="550" spans="2:16" ht="12.75">
      <c r="B550" s="238"/>
      <c r="H550" s="155"/>
      <c r="I550" s="239"/>
      <c r="L550" s="240"/>
      <c r="M550" s="241"/>
      <c r="N550" s="178"/>
      <c r="O550" s="242"/>
      <c r="P550" s="243"/>
    </row>
    <row r="551" spans="2:16" ht="12.75">
      <c r="B551" s="238"/>
      <c r="H551" s="155"/>
      <c r="I551" s="239"/>
      <c r="L551" s="240"/>
      <c r="M551" s="241"/>
      <c r="N551" s="178"/>
      <c r="O551" s="242"/>
      <c r="P551" s="243"/>
    </row>
    <row r="552" spans="2:16" ht="12.75">
      <c r="B552" s="238"/>
      <c r="H552" s="155"/>
      <c r="I552" s="239"/>
      <c r="L552" s="240"/>
      <c r="M552" s="241"/>
      <c r="N552" s="178"/>
      <c r="O552" s="242"/>
      <c r="P552" s="243"/>
    </row>
    <row r="553" spans="2:16" ht="12.75">
      <c r="B553" s="238"/>
      <c r="H553" s="155"/>
      <c r="I553" s="239"/>
      <c r="L553" s="240"/>
      <c r="M553" s="241"/>
      <c r="N553" s="178"/>
      <c r="O553" s="242"/>
      <c r="P553" s="243"/>
    </row>
    <row r="554" spans="2:16" ht="12.75">
      <c r="B554" s="238"/>
      <c r="H554" s="155"/>
      <c r="I554" s="239"/>
      <c r="L554" s="240"/>
      <c r="M554" s="241"/>
      <c r="N554" s="178"/>
      <c r="O554" s="242"/>
      <c r="P554" s="243"/>
    </row>
    <row r="555" spans="2:16" ht="12.75">
      <c r="B555" s="238"/>
      <c r="H555" s="155"/>
      <c r="I555" s="239"/>
      <c r="L555" s="240"/>
      <c r="M555" s="241"/>
      <c r="N555" s="178"/>
      <c r="O555" s="242"/>
      <c r="P555" s="243"/>
    </row>
    <row r="556" spans="2:16" ht="12.75">
      <c r="B556" s="238"/>
      <c r="H556" s="155"/>
      <c r="I556" s="239"/>
      <c r="L556" s="240"/>
      <c r="M556" s="241"/>
      <c r="N556" s="178"/>
      <c r="O556" s="242"/>
      <c r="P556" s="243"/>
    </row>
    <row r="557" spans="2:16" ht="12.75">
      <c r="B557" s="238"/>
      <c r="H557" s="155"/>
      <c r="I557" s="239"/>
      <c r="L557" s="240"/>
      <c r="M557" s="241"/>
      <c r="N557" s="178"/>
      <c r="O557" s="242"/>
      <c r="P557" s="243"/>
    </row>
    <row r="558" spans="2:16" ht="12.75">
      <c r="B558" s="238"/>
      <c r="H558" s="155"/>
      <c r="I558" s="239"/>
      <c r="L558" s="240"/>
      <c r="M558" s="241"/>
      <c r="N558" s="178"/>
      <c r="O558" s="242"/>
      <c r="P558" s="243"/>
    </row>
    <row r="559" spans="2:16" ht="12.75">
      <c r="B559" s="238"/>
      <c r="H559" s="155"/>
      <c r="I559" s="239"/>
      <c r="L559" s="240"/>
      <c r="M559" s="241"/>
      <c r="N559" s="178"/>
      <c r="O559" s="242"/>
      <c r="P559" s="243"/>
    </row>
    <row r="560" spans="2:16" ht="12.75">
      <c r="B560" s="238"/>
      <c r="H560" s="155"/>
      <c r="I560" s="239"/>
      <c r="L560" s="240"/>
      <c r="M560" s="241"/>
      <c r="N560" s="178"/>
      <c r="O560" s="242"/>
      <c r="P560" s="243"/>
    </row>
    <row r="561" spans="2:16" ht="12.75">
      <c r="B561" s="238"/>
      <c r="H561" s="155"/>
      <c r="I561" s="239"/>
      <c r="L561" s="240"/>
      <c r="M561" s="241"/>
      <c r="N561" s="178"/>
      <c r="O561" s="242"/>
      <c r="P561" s="243"/>
    </row>
    <row r="562" spans="2:16" ht="12.75">
      <c r="B562" s="238"/>
      <c r="H562" s="155"/>
      <c r="I562" s="239"/>
      <c r="L562" s="240"/>
      <c r="M562" s="241"/>
      <c r="N562" s="178"/>
      <c r="O562" s="242"/>
      <c r="P562" s="243"/>
    </row>
    <row r="563" spans="2:16" ht="12.75">
      <c r="B563" s="238"/>
      <c r="H563" s="155"/>
      <c r="I563" s="239"/>
      <c r="L563" s="240"/>
      <c r="M563" s="241"/>
      <c r="N563" s="178"/>
      <c r="O563" s="242"/>
      <c r="P563" s="243"/>
    </row>
    <row r="564" spans="2:16" ht="12.75">
      <c r="B564" s="238"/>
      <c r="H564" s="155"/>
      <c r="I564" s="239"/>
      <c r="L564" s="240"/>
      <c r="M564" s="241"/>
      <c r="N564" s="178"/>
      <c r="O564" s="242"/>
      <c r="P564" s="243"/>
    </row>
    <row r="565" spans="2:16" ht="12.75">
      <c r="B565" s="238"/>
      <c r="H565" s="155"/>
      <c r="I565" s="239"/>
      <c r="L565" s="240"/>
      <c r="M565" s="241"/>
      <c r="N565" s="178"/>
      <c r="O565" s="242"/>
      <c r="P565" s="243"/>
    </row>
    <row r="566" spans="2:16" ht="12.75">
      <c r="B566" s="238"/>
      <c r="H566" s="155"/>
      <c r="I566" s="239"/>
      <c r="L566" s="240"/>
      <c r="M566" s="241"/>
      <c r="N566" s="178"/>
      <c r="O566" s="242"/>
      <c r="P566" s="243"/>
    </row>
    <row r="567" spans="2:16" ht="12.75">
      <c r="B567" s="238"/>
      <c r="H567" s="155"/>
      <c r="I567" s="239"/>
      <c r="L567" s="240"/>
      <c r="M567" s="241"/>
      <c r="N567" s="178"/>
      <c r="O567" s="242"/>
      <c r="P567" s="243"/>
    </row>
    <row r="568" spans="2:16" ht="12.75">
      <c r="B568" s="238"/>
      <c r="H568" s="155"/>
      <c r="I568" s="239"/>
      <c r="L568" s="240"/>
      <c r="M568" s="241"/>
      <c r="N568" s="178"/>
      <c r="O568" s="242"/>
      <c r="P568" s="243"/>
    </row>
    <row r="569" spans="2:16" ht="12.75">
      <c r="B569" s="238"/>
      <c r="H569" s="155"/>
      <c r="I569" s="239"/>
      <c r="L569" s="240"/>
      <c r="M569" s="241"/>
      <c r="N569" s="178"/>
      <c r="O569" s="242"/>
      <c r="P569" s="243"/>
    </row>
    <row r="570" spans="2:16" ht="12.75">
      <c r="B570" s="238"/>
      <c r="H570" s="155"/>
      <c r="I570" s="239"/>
      <c r="L570" s="240"/>
      <c r="M570" s="241"/>
      <c r="N570" s="178"/>
      <c r="O570" s="242"/>
      <c r="P570" s="243"/>
    </row>
    <row r="571" spans="2:16" ht="12.75">
      <c r="B571" s="238"/>
      <c r="H571" s="155"/>
      <c r="I571" s="239"/>
      <c r="L571" s="240"/>
      <c r="M571" s="241"/>
      <c r="N571" s="178"/>
      <c r="O571" s="242"/>
      <c r="P571" s="243"/>
    </row>
    <row r="572" spans="2:16" ht="12.75">
      <c r="B572" s="238"/>
      <c r="H572" s="155"/>
      <c r="I572" s="239"/>
      <c r="L572" s="240"/>
      <c r="M572" s="241"/>
      <c r="N572" s="178"/>
      <c r="O572" s="242"/>
      <c r="P572" s="243"/>
    </row>
    <row r="573" spans="2:16" ht="12.75">
      <c r="B573" s="238"/>
      <c r="H573" s="155"/>
      <c r="I573" s="239"/>
      <c r="L573" s="240"/>
      <c r="M573" s="241"/>
      <c r="N573" s="178"/>
      <c r="O573" s="242"/>
      <c r="P573" s="243"/>
    </row>
    <row r="574" spans="2:16" ht="12.75">
      <c r="B574" s="238"/>
      <c r="H574" s="155"/>
      <c r="I574" s="239"/>
      <c r="L574" s="240"/>
      <c r="M574" s="241"/>
      <c r="N574" s="178"/>
      <c r="O574" s="242"/>
      <c r="P574" s="243"/>
    </row>
    <row r="575" spans="2:16" ht="12.75">
      <c r="B575" s="238"/>
      <c r="H575" s="155"/>
      <c r="I575" s="239"/>
      <c r="L575" s="240"/>
      <c r="M575" s="241"/>
      <c r="N575" s="178"/>
      <c r="O575" s="242"/>
      <c r="P575" s="243"/>
    </row>
    <row r="576" spans="2:16" ht="12.75">
      <c r="B576" s="238"/>
      <c r="H576" s="155"/>
      <c r="I576" s="239"/>
      <c r="L576" s="240"/>
      <c r="M576" s="241"/>
      <c r="N576" s="178"/>
      <c r="O576" s="242"/>
      <c r="P576" s="243"/>
    </row>
    <row r="577" spans="2:16" ht="12.75">
      <c r="B577" s="238"/>
      <c r="H577" s="155"/>
      <c r="I577" s="239"/>
      <c r="L577" s="240"/>
      <c r="M577" s="241"/>
      <c r="N577" s="178"/>
      <c r="O577" s="242"/>
      <c r="P577" s="243"/>
    </row>
    <row r="578" spans="2:16" ht="12.75">
      <c r="B578" s="238"/>
      <c r="H578" s="155"/>
      <c r="I578" s="239"/>
      <c r="L578" s="240"/>
      <c r="M578" s="241"/>
      <c r="N578" s="178"/>
      <c r="O578" s="242"/>
      <c r="P578" s="243"/>
    </row>
    <row r="579" spans="2:16" ht="12.75">
      <c r="B579" s="238"/>
      <c r="H579" s="155"/>
      <c r="I579" s="239"/>
      <c r="L579" s="240"/>
      <c r="M579" s="241"/>
      <c r="N579" s="178"/>
      <c r="O579" s="242"/>
      <c r="P579" s="243"/>
    </row>
    <row r="580" spans="2:16" ht="12.75">
      <c r="B580" s="238"/>
      <c r="H580" s="155"/>
      <c r="I580" s="239"/>
      <c r="L580" s="240"/>
      <c r="M580" s="241"/>
      <c r="N580" s="178"/>
      <c r="O580" s="242"/>
      <c r="P580" s="243"/>
    </row>
    <row r="581" spans="2:16" ht="12.75">
      <c r="B581" s="238"/>
      <c r="H581" s="155"/>
      <c r="I581" s="239"/>
      <c r="L581" s="240"/>
      <c r="M581" s="241"/>
      <c r="N581" s="178"/>
      <c r="O581" s="242"/>
      <c r="P581" s="243"/>
    </row>
    <row r="582" spans="2:16" ht="12.75">
      <c r="B582" s="238"/>
      <c r="H582" s="155"/>
      <c r="I582" s="239"/>
      <c r="L582" s="240"/>
      <c r="M582" s="241"/>
      <c r="N582" s="178"/>
      <c r="O582" s="242"/>
      <c r="P582" s="243"/>
    </row>
    <row r="583" spans="2:16" ht="12.75">
      <c r="B583" s="238"/>
      <c r="H583" s="155"/>
      <c r="I583" s="239"/>
      <c r="L583" s="240"/>
      <c r="M583" s="241"/>
      <c r="N583" s="178"/>
      <c r="O583" s="242"/>
      <c r="P583" s="243"/>
    </row>
    <row r="584" spans="2:16" ht="12.75">
      <c r="B584" s="238"/>
      <c r="H584" s="155"/>
      <c r="I584" s="239"/>
      <c r="L584" s="240"/>
      <c r="M584" s="241"/>
      <c r="N584" s="178"/>
      <c r="O584" s="242"/>
      <c r="P584" s="243"/>
    </row>
    <row r="585" spans="2:16" ht="12.75">
      <c r="B585" s="238"/>
      <c r="H585" s="155"/>
      <c r="I585" s="239"/>
      <c r="L585" s="240"/>
      <c r="M585" s="241"/>
      <c r="N585" s="178"/>
      <c r="O585" s="242"/>
      <c r="P585" s="243"/>
    </row>
    <row r="586" spans="2:16" ht="12.75">
      <c r="B586" s="238"/>
      <c r="H586" s="155"/>
      <c r="I586" s="239"/>
      <c r="L586" s="240"/>
      <c r="M586" s="241"/>
      <c r="N586" s="178"/>
      <c r="O586" s="242"/>
      <c r="P586" s="243"/>
    </row>
    <row r="587" spans="2:16" ht="12.75">
      <c r="B587" s="238"/>
      <c r="H587" s="155"/>
      <c r="I587" s="239"/>
      <c r="L587" s="240"/>
      <c r="M587" s="241"/>
      <c r="N587" s="178"/>
      <c r="O587" s="242"/>
      <c r="P587" s="243"/>
    </row>
    <row r="588" spans="2:16" ht="12.75">
      <c r="B588" s="238"/>
      <c r="H588" s="155"/>
      <c r="I588" s="239"/>
      <c r="L588" s="240"/>
      <c r="M588" s="241"/>
      <c r="N588" s="178"/>
      <c r="O588" s="242"/>
      <c r="P588" s="243"/>
    </row>
    <row r="589" spans="2:16" ht="12.75">
      <c r="B589" s="238"/>
      <c r="H589" s="155"/>
      <c r="I589" s="239"/>
      <c r="L589" s="240"/>
      <c r="M589" s="241"/>
      <c r="N589" s="178"/>
      <c r="O589" s="242"/>
      <c r="P589" s="243"/>
    </row>
    <row r="590" spans="2:16" ht="12.75">
      <c r="B590" s="238"/>
      <c r="H590" s="155"/>
      <c r="I590" s="239"/>
      <c r="L590" s="240"/>
      <c r="M590" s="241"/>
      <c r="N590" s="178"/>
      <c r="O590" s="242"/>
      <c r="P590" s="243"/>
    </row>
    <row r="591" spans="2:16" ht="12.75">
      <c r="B591" s="238"/>
      <c r="H591" s="155"/>
      <c r="I591" s="239"/>
      <c r="L591" s="240"/>
      <c r="M591" s="241"/>
      <c r="N591" s="178"/>
      <c r="O591" s="242"/>
      <c r="P591" s="243"/>
    </row>
    <row r="592" spans="2:16" ht="12.75">
      <c r="B592" s="238"/>
      <c r="H592" s="155"/>
      <c r="I592" s="239"/>
      <c r="L592" s="240"/>
      <c r="M592" s="241"/>
      <c r="N592" s="178"/>
      <c r="O592" s="242"/>
      <c r="P592" s="243"/>
    </row>
    <row r="593" spans="2:16" ht="12.75">
      <c r="B593" s="238"/>
      <c r="H593" s="155"/>
      <c r="I593" s="239"/>
      <c r="L593" s="240"/>
      <c r="M593" s="241"/>
      <c r="N593" s="178"/>
      <c r="O593" s="242"/>
      <c r="P593" s="243"/>
    </row>
    <row r="594" spans="2:16" ht="12.75">
      <c r="B594" s="238"/>
      <c r="H594" s="155"/>
      <c r="I594" s="239"/>
      <c r="L594" s="240"/>
      <c r="M594" s="241"/>
      <c r="N594" s="178"/>
      <c r="O594" s="242"/>
      <c r="P594" s="243"/>
    </row>
    <row r="595" spans="2:16" ht="12.75">
      <c r="B595" s="238"/>
      <c r="H595" s="155"/>
      <c r="I595" s="239"/>
      <c r="L595" s="240"/>
      <c r="M595" s="241"/>
      <c r="N595" s="178"/>
      <c r="O595" s="242"/>
      <c r="P595" s="243"/>
    </row>
    <row r="596" spans="2:16" ht="12.75">
      <c r="B596" s="238"/>
      <c r="H596" s="155"/>
      <c r="I596" s="239"/>
      <c r="L596" s="240"/>
      <c r="M596" s="241"/>
      <c r="N596" s="178"/>
      <c r="O596" s="242"/>
      <c r="P596" s="243"/>
    </row>
    <row r="597" spans="2:16" ht="12.75">
      <c r="B597" s="238"/>
      <c r="H597" s="155"/>
      <c r="I597" s="239"/>
      <c r="L597" s="240"/>
      <c r="M597" s="241"/>
      <c r="N597" s="178"/>
      <c r="O597" s="242"/>
      <c r="P597" s="243"/>
    </row>
    <row r="598" spans="2:16" ht="12.75">
      <c r="B598" s="238"/>
      <c r="H598" s="155"/>
      <c r="I598" s="239"/>
      <c r="L598" s="240"/>
      <c r="M598" s="241"/>
      <c r="N598" s="178"/>
      <c r="O598" s="242"/>
      <c r="P598" s="243"/>
    </row>
    <row r="599" spans="2:16" ht="12.75">
      <c r="B599" s="238"/>
      <c r="H599" s="155"/>
      <c r="I599" s="239"/>
      <c r="L599" s="240"/>
      <c r="M599" s="241"/>
      <c r="N599" s="178"/>
      <c r="O599" s="242"/>
      <c r="P599" s="243"/>
    </row>
    <row r="600" spans="2:16" ht="12.75">
      <c r="B600" s="238"/>
      <c r="H600" s="155"/>
      <c r="I600" s="239"/>
      <c r="L600" s="240"/>
      <c r="M600" s="241"/>
      <c r="N600" s="178"/>
      <c r="O600" s="242"/>
      <c r="P600" s="243"/>
    </row>
    <row r="601" spans="2:16" ht="12.75">
      <c r="B601" s="238"/>
      <c r="H601" s="155"/>
      <c r="I601" s="239"/>
      <c r="L601" s="240"/>
      <c r="M601" s="241"/>
      <c r="N601" s="178"/>
      <c r="O601" s="242"/>
      <c r="P601" s="243"/>
    </row>
    <row r="602" spans="2:16" ht="12.75">
      <c r="B602" s="238"/>
      <c r="H602" s="155"/>
      <c r="I602" s="239"/>
      <c r="L602" s="240"/>
      <c r="M602" s="241"/>
      <c r="N602" s="178"/>
      <c r="O602" s="242"/>
      <c r="P602" s="243"/>
    </row>
    <row r="603" spans="2:16" ht="12.75">
      <c r="B603" s="238"/>
      <c r="H603" s="155"/>
      <c r="I603" s="239"/>
      <c r="L603" s="240"/>
      <c r="M603" s="241"/>
      <c r="N603" s="178"/>
      <c r="O603" s="242"/>
      <c r="P603" s="243"/>
    </row>
    <row r="604" spans="2:16" ht="12.75">
      <c r="B604" s="238"/>
      <c r="H604" s="155"/>
      <c r="I604" s="239"/>
      <c r="L604" s="240"/>
      <c r="M604" s="241"/>
      <c r="N604" s="178"/>
      <c r="O604" s="242"/>
      <c r="P604" s="243"/>
    </row>
    <row r="605" spans="2:16" ht="12.75">
      <c r="B605" s="238"/>
      <c r="H605" s="155"/>
      <c r="I605" s="239"/>
      <c r="L605" s="240"/>
      <c r="M605" s="241"/>
      <c r="N605" s="178"/>
      <c r="O605" s="242"/>
      <c r="P605" s="243"/>
    </row>
    <row r="606" spans="2:16" ht="12.75">
      <c r="B606" s="238"/>
      <c r="H606" s="155"/>
      <c r="I606" s="239"/>
      <c r="L606" s="240"/>
      <c r="M606" s="241"/>
      <c r="N606" s="178"/>
      <c r="O606" s="242"/>
      <c r="P606" s="243"/>
    </row>
    <row r="607" spans="2:16" ht="12.75">
      <c r="B607" s="238"/>
      <c r="H607" s="155"/>
      <c r="I607" s="239"/>
      <c r="L607" s="240"/>
      <c r="M607" s="241"/>
      <c r="N607" s="178"/>
      <c r="O607" s="242"/>
      <c r="P607" s="243"/>
    </row>
    <row r="608" spans="2:16" ht="12.75">
      <c r="B608" s="238"/>
      <c r="H608" s="155"/>
      <c r="I608" s="239"/>
      <c r="L608" s="240"/>
      <c r="M608" s="241"/>
      <c r="N608" s="178"/>
      <c r="O608" s="242"/>
      <c r="P608" s="243"/>
    </row>
    <row r="609" spans="2:16" ht="12.75">
      <c r="B609" s="238"/>
      <c r="H609" s="155"/>
      <c r="I609" s="239"/>
      <c r="L609" s="240"/>
      <c r="M609" s="241"/>
      <c r="N609" s="178"/>
      <c r="O609" s="242"/>
      <c r="P609" s="243"/>
    </row>
    <row r="610" spans="2:16" ht="12.75">
      <c r="B610" s="238"/>
      <c r="H610" s="155"/>
      <c r="I610" s="239"/>
      <c r="L610" s="240"/>
      <c r="M610" s="241"/>
      <c r="N610" s="178"/>
      <c r="O610" s="242"/>
      <c r="P610" s="243"/>
    </row>
    <row r="611" spans="2:16" ht="12.75">
      <c r="B611" s="238"/>
      <c r="H611" s="155"/>
      <c r="I611" s="239"/>
      <c r="L611" s="240"/>
      <c r="M611" s="241"/>
      <c r="N611" s="178"/>
      <c r="O611" s="242"/>
      <c r="P611" s="243"/>
    </row>
    <row r="612" spans="2:16" ht="12.75">
      <c r="B612" s="238"/>
      <c r="H612" s="155"/>
      <c r="I612" s="239"/>
      <c r="L612" s="240"/>
      <c r="M612" s="241"/>
      <c r="N612" s="178"/>
      <c r="O612" s="242"/>
      <c r="P612" s="243"/>
    </row>
    <row r="613" spans="2:16" ht="12.75">
      <c r="B613" s="238"/>
      <c r="H613" s="155"/>
      <c r="I613" s="239"/>
      <c r="L613" s="240"/>
      <c r="M613" s="241"/>
      <c r="N613" s="178"/>
      <c r="O613" s="242"/>
      <c r="P613" s="243"/>
    </row>
    <row r="614" spans="2:16" ht="12.75">
      <c r="B614" s="238"/>
      <c r="H614" s="155"/>
      <c r="I614" s="239"/>
      <c r="L614" s="240"/>
      <c r="M614" s="241"/>
      <c r="N614" s="178"/>
      <c r="O614" s="242"/>
      <c r="P614" s="243"/>
    </row>
    <row r="615" spans="2:16" ht="12.75">
      <c r="B615" s="238"/>
      <c r="H615" s="155"/>
      <c r="I615" s="239"/>
      <c r="L615" s="240"/>
      <c r="M615" s="241"/>
      <c r="N615" s="178"/>
      <c r="O615" s="242"/>
      <c r="P615" s="243"/>
    </row>
    <row r="616" spans="2:16" ht="12.75">
      <c r="B616" s="238"/>
      <c r="H616" s="155"/>
      <c r="I616" s="239"/>
      <c r="L616" s="240"/>
      <c r="M616" s="241"/>
      <c r="N616" s="178"/>
      <c r="O616" s="242"/>
      <c r="P616" s="243"/>
    </row>
    <row r="617" spans="2:16" ht="12.75">
      <c r="B617" s="238"/>
      <c r="H617" s="155"/>
      <c r="I617" s="239"/>
      <c r="L617" s="240"/>
      <c r="M617" s="241"/>
      <c r="N617" s="178"/>
      <c r="O617" s="242"/>
      <c r="P617" s="243"/>
    </row>
    <row r="618" spans="2:16" ht="12.75">
      <c r="B618" s="238"/>
      <c r="H618" s="155"/>
      <c r="I618" s="239"/>
      <c r="L618" s="240"/>
      <c r="M618" s="241"/>
      <c r="N618" s="178"/>
      <c r="O618" s="242"/>
      <c r="P618" s="243"/>
    </row>
    <row r="619" spans="2:16" ht="12.75">
      <c r="B619" s="238"/>
      <c r="H619" s="155"/>
      <c r="I619" s="239"/>
      <c r="L619" s="240"/>
      <c r="M619" s="241"/>
      <c r="N619" s="178"/>
      <c r="O619" s="242"/>
      <c r="P619" s="243"/>
    </row>
    <row r="620" spans="2:16" ht="12.75">
      <c r="B620" s="238"/>
      <c r="H620" s="155"/>
      <c r="I620" s="239"/>
      <c r="L620" s="240"/>
      <c r="M620" s="241"/>
      <c r="N620" s="178"/>
      <c r="O620" s="242"/>
      <c r="P620" s="243"/>
    </row>
    <row r="621" spans="2:16" ht="12.75">
      <c r="B621" s="238"/>
      <c r="H621" s="155"/>
      <c r="I621" s="239"/>
      <c r="L621" s="240"/>
      <c r="M621" s="241"/>
      <c r="N621" s="178"/>
      <c r="O621" s="242"/>
      <c r="P621" s="243"/>
    </row>
    <row r="622" spans="2:16" ht="12.75">
      <c r="B622" s="238"/>
      <c r="H622" s="155"/>
      <c r="I622" s="239"/>
      <c r="L622" s="240"/>
      <c r="M622" s="241"/>
      <c r="N622" s="178"/>
      <c r="O622" s="242"/>
      <c r="P622" s="243"/>
    </row>
    <row r="623" spans="2:16" ht="12.75">
      <c r="B623" s="238"/>
      <c r="H623" s="155"/>
      <c r="I623" s="239"/>
      <c r="L623" s="240"/>
      <c r="M623" s="241"/>
      <c r="N623" s="178"/>
      <c r="O623" s="242"/>
      <c r="P623" s="243"/>
    </row>
    <row r="624" spans="2:16" ht="12.75">
      <c r="B624" s="238"/>
      <c r="H624" s="155"/>
      <c r="I624" s="239"/>
      <c r="L624" s="240"/>
      <c r="M624" s="241"/>
      <c r="N624" s="178"/>
      <c r="O624" s="242"/>
      <c r="P624" s="243"/>
    </row>
    <row r="625" spans="2:16" ht="12.75">
      <c r="B625" s="238"/>
      <c r="H625" s="155"/>
      <c r="I625" s="239"/>
      <c r="L625" s="240"/>
      <c r="M625" s="241"/>
      <c r="N625" s="178"/>
      <c r="O625" s="242"/>
      <c r="P625" s="243"/>
    </row>
    <row r="626" spans="2:16" ht="12.75">
      <c r="B626" s="238"/>
      <c r="H626" s="155"/>
      <c r="I626" s="239"/>
      <c r="L626" s="240"/>
      <c r="M626" s="241"/>
      <c r="N626" s="178"/>
      <c r="O626" s="242"/>
      <c r="P626" s="243"/>
    </row>
    <row r="627" spans="2:16" ht="12.75">
      <c r="B627" s="238"/>
      <c r="H627" s="155"/>
      <c r="I627" s="239"/>
      <c r="L627" s="240"/>
      <c r="M627" s="241"/>
      <c r="N627" s="178"/>
      <c r="O627" s="242"/>
      <c r="P627" s="243"/>
    </row>
    <row r="628" spans="2:16" ht="12.75">
      <c r="B628" s="238"/>
      <c r="H628" s="155"/>
      <c r="I628" s="239"/>
      <c r="L628" s="240"/>
      <c r="M628" s="241"/>
      <c r="N628" s="178"/>
      <c r="O628" s="242"/>
      <c r="P628" s="243"/>
    </row>
    <row r="629" spans="2:16" ht="12.75">
      <c r="B629" s="238"/>
      <c r="H629" s="155"/>
      <c r="I629" s="239"/>
      <c r="L629" s="240"/>
      <c r="M629" s="241"/>
      <c r="N629" s="178"/>
      <c r="O629" s="242"/>
      <c r="P629" s="243"/>
    </row>
    <row r="630" spans="2:16" ht="12.75">
      <c r="B630" s="238"/>
      <c r="H630" s="155"/>
      <c r="I630" s="239"/>
      <c r="L630" s="240"/>
      <c r="M630" s="241"/>
      <c r="N630" s="178"/>
      <c r="O630" s="242"/>
      <c r="P630" s="243"/>
    </row>
    <row r="631" spans="2:16" ht="12.75">
      <c r="B631" s="238"/>
      <c r="H631" s="155"/>
      <c r="I631" s="239"/>
      <c r="L631" s="240"/>
      <c r="M631" s="241"/>
      <c r="N631" s="178"/>
      <c r="O631" s="242"/>
      <c r="P631" s="243"/>
    </row>
    <row r="632" spans="2:16" ht="12.75">
      <c r="B632" s="238"/>
      <c r="H632" s="155"/>
      <c r="I632" s="239"/>
      <c r="L632" s="240"/>
      <c r="M632" s="241"/>
      <c r="N632" s="178"/>
      <c r="O632" s="242"/>
      <c r="P632" s="243"/>
    </row>
    <row r="633" spans="2:16" ht="12.75">
      <c r="B633" s="238"/>
      <c r="H633" s="155"/>
      <c r="I633" s="239"/>
      <c r="L633" s="240"/>
      <c r="M633" s="241"/>
      <c r="N633" s="178"/>
      <c r="O633" s="242"/>
      <c r="P633" s="243"/>
    </row>
    <row r="634" spans="2:16" ht="12.75">
      <c r="B634" s="238"/>
      <c r="H634" s="155"/>
      <c r="I634" s="239"/>
      <c r="L634" s="240"/>
      <c r="M634" s="241"/>
      <c r="N634" s="178"/>
      <c r="O634" s="242"/>
      <c r="P634" s="243"/>
    </row>
    <row r="635" spans="2:16" ht="12.75">
      <c r="B635" s="238"/>
      <c r="H635" s="155"/>
      <c r="I635" s="239"/>
      <c r="L635" s="240"/>
      <c r="M635" s="241"/>
      <c r="N635" s="178"/>
      <c r="O635" s="242"/>
      <c r="P635" s="243"/>
    </row>
    <row r="636" spans="2:16" ht="12.75">
      <c r="B636" s="238"/>
      <c r="H636" s="155"/>
      <c r="I636" s="239"/>
      <c r="L636" s="240"/>
      <c r="M636" s="241"/>
      <c r="N636" s="178"/>
      <c r="O636" s="242"/>
      <c r="P636" s="243"/>
    </row>
    <row r="637" spans="2:16" ht="12.75">
      <c r="B637" s="238"/>
      <c r="H637" s="155"/>
      <c r="I637" s="239"/>
      <c r="L637" s="240"/>
      <c r="M637" s="241"/>
      <c r="N637" s="178"/>
      <c r="O637" s="242"/>
      <c r="P637" s="243"/>
    </row>
    <row r="638" spans="2:16" ht="12.75">
      <c r="B638" s="238"/>
      <c r="H638" s="155"/>
      <c r="I638" s="239"/>
      <c r="L638" s="240"/>
      <c r="M638" s="241"/>
      <c r="N638" s="178"/>
      <c r="O638" s="242"/>
      <c r="P638" s="243"/>
    </row>
    <row r="639" spans="2:16" ht="12.75">
      <c r="B639" s="238"/>
      <c r="H639" s="155"/>
      <c r="I639" s="239"/>
      <c r="L639" s="240"/>
      <c r="M639" s="241"/>
      <c r="N639" s="178"/>
      <c r="O639" s="242"/>
      <c r="P639" s="243"/>
    </row>
    <row r="640" spans="2:16" ht="12.75">
      <c r="B640" s="238"/>
      <c r="H640" s="155"/>
      <c r="I640" s="239"/>
      <c r="L640" s="240"/>
      <c r="M640" s="241"/>
      <c r="N640" s="178"/>
      <c r="O640" s="242"/>
      <c r="P640" s="243"/>
    </row>
    <row r="641" spans="2:16" ht="12.75">
      <c r="B641" s="238"/>
      <c r="H641" s="155"/>
      <c r="I641" s="239"/>
      <c r="L641" s="240"/>
      <c r="M641" s="241"/>
      <c r="N641" s="178"/>
      <c r="O641" s="242"/>
      <c r="P641" s="243"/>
    </row>
    <row r="642" spans="2:16" ht="12.75">
      <c r="B642" s="238"/>
      <c r="H642" s="155"/>
      <c r="I642" s="239"/>
      <c r="L642" s="240"/>
      <c r="M642" s="241"/>
      <c r="N642" s="178"/>
      <c r="O642" s="242"/>
      <c r="P642" s="243"/>
    </row>
    <row r="643" spans="2:16" ht="12.75">
      <c r="B643" s="238"/>
      <c r="H643" s="155"/>
      <c r="I643" s="239"/>
      <c r="L643" s="240"/>
      <c r="M643" s="241"/>
      <c r="N643" s="178"/>
      <c r="O643" s="242"/>
      <c r="P643" s="243"/>
    </row>
    <row r="644" spans="2:16" ht="12.75">
      <c r="B644" s="238"/>
      <c r="H644" s="155"/>
      <c r="I644" s="239"/>
      <c r="L644" s="240"/>
      <c r="M644" s="241"/>
      <c r="N644" s="178"/>
      <c r="O644" s="242"/>
      <c r="P644" s="243"/>
    </row>
    <row r="645" spans="2:16" ht="12.75">
      <c r="B645" s="238"/>
      <c r="H645" s="155"/>
      <c r="I645" s="239"/>
      <c r="L645" s="240"/>
      <c r="M645" s="241"/>
      <c r="N645" s="178"/>
      <c r="O645" s="242"/>
      <c r="P645" s="243"/>
    </row>
    <row r="646" spans="2:16" ht="12.75">
      <c r="B646" s="238"/>
      <c r="H646" s="155"/>
      <c r="I646" s="239"/>
      <c r="L646" s="240"/>
      <c r="M646" s="241"/>
      <c r="N646" s="178"/>
      <c r="O646" s="242"/>
      <c r="P646" s="243"/>
    </row>
    <row r="647" spans="2:16" ht="12.75">
      <c r="B647" s="238"/>
      <c r="H647" s="155"/>
      <c r="I647" s="239"/>
      <c r="L647" s="240"/>
      <c r="M647" s="241"/>
      <c r="N647" s="178"/>
      <c r="O647" s="242"/>
      <c r="P647" s="243"/>
    </row>
    <row r="648" spans="2:16" ht="12.75">
      <c r="B648" s="238"/>
      <c r="H648" s="155"/>
      <c r="I648" s="239"/>
      <c r="L648" s="240"/>
      <c r="M648" s="241"/>
      <c r="N648" s="178"/>
      <c r="O648" s="242"/>
      <c r="P648" s="243"/>
    </row>
    <row r="649" spans="2:16" ht="12.75">
      <c r="B649" s="238"/>
      <c r="H649" s="155"/>
      <c r="I649" s="239"/>
      <c r="L649" s="240"/>
      <c r="M649" s="241"/>
      <c r="N649" s="178"/>
      <c r="O649" s="242"/>
      <c r="P649" s="243"/>
    </row>
    <row r="650" spans="2:16" ht="12.75">
      <c r="B650" s="238"/>
      <c r="H650" s="155"/>
      <c r="I650" s="239"/>
      <c r="L650" s="240"/>
      <c r="M650" s="241"/>
      <c r="N650" s="178"/>
      <c r="O650" s="242"/>
      <c r="P650" s="243"/>
    </row>
    <row r="651" spans="2:16" ht="12.75">
      <c r="B651" s="238"/>
      <c r="H651" s="155"/>
      <c r="I651" s="239"/>
      <c r="L651" s="240"/>
      <c r="M651" s="241"/>
      <c r="N651" s="178"/>
      <c r="O651" s="242"/>
      <c r="P651" s="243"/>
    </row>
    <row r="652" spans="2:16" ht="12.75">
      <c r="B652" s="238"/>
      <c r="H652" s="155"/>
      <c r="I652" s="239"/>
      <c r="L652" s="240"/>
      <c r="M652" s="241"/>
      <c r="N652" s="178"/>
      <c r="O652" s="242"/>
      <c r="P652" s="243"/>
    </row>
    <row r="653" spans="2:16" ht="12.75">
      <c r="B653" s="238"/>
      <c r="H653" s="155"/>
      <c r="I653" s="239"/>
      <c r="L653" s="240"/>
      <c r="M653" s="241"/>
      <c r="N653" s="178"/>
      <c r="O653" s="242"/>
      <c r="P653" s="243"/>
    </row>
    <row r="654" spans="2:16" ht="12.75">
      <c r="B654" s="238"/>
      <c r="H654" s="155"/>
      <c r="I654" s="239"/>
      <c r="L654" s="240"/>
      <c r="M654" s="241"/>
      <c r="N654" s="178"/>
      <c r="O654" s="242"/>
      <c r="P654" s="243"/>
    </row>
    <row r="655" spans="2:16" ht="12.75">
      <c r="B655" s="238"/>
      <c r="H655" s="155"/>
      <c r="I655" s="239"/>
      <c r="L655" s="240"/>
      <c r="M655" s="241"/>
      <c r="N655" s="178"/>
      <c r="O655" s="242"/>
      <c r="P655" s="243"/>
    </row>
    <row r="656" spans="2:16" ht="12.75">
      <c r="B656" s="238"/>
      <c r="H656" s="155"/>
      <c r="I656" s="239"/>
      <c r="L656" s="240"/>
      <c r="M656" s="241"/>
      <c r="N656" s="178"/>
      <c r="O656" s="242"/>
      <c r="P656" s="243"/>
    </row>
    <row r="657" spans="2:16" ht="12.75">
      <c r="B657" s="238"/>
      <c r="H657" s="155"/>
      <c r="I657" s="239"/>
      <c r="L657" s="240"/>
      <c r="M657" s="241"/>
      <c r="N657" s="178"/>
      <c r="O657" s="242"/>
      <c r="P657" s="243"/>
    </row>
    <row r="658" spans="2:16" ht="12.75">
      <c r="B658" s="238"/>
      <c r="H658" s="155"/>
      <c r="I658" s="239"/>
      <c r="L658" s="240"/>
      <c r="M658" s="241"/>
      <c r="N658" s="178"/>
      <c r="O658" s="242"/>
      <c r="P658" s="243"/>
    </row>
    <row r="659" spans="2:16" ht="12.75">
      <c r="B659" s="238"/>
      <c r="H659" s="155"/>
      <c r="I659" s="239"/>
      <c r="L659" s="240"/>
      <c r="M659" s="241"/>
      <c r="N659" s="178"/>
      <c r="O659" s="242"/>
      <c r="P659" s="243"/>
    </row>
    <row r="660" spans="2:16" ht="12.75">
      <c r="B660" s="238"/>
      <c r="H660" s="155"/>
      <c r="I660" s="239"/>
      <c r="L660" s="240"/>
      <c r="M660" s="241"/>
      <c r="N660" s="178"/>
      <c r="O660" s="242"/>
      <c r="P660" s="243"/>
    </row>
    <row r="661" spans="2:16" ht="12.75">
      <c r="B661" s="238"/>
      <c r="H661" s="155"/>
      <c r="I661" s="239"/>
      <c r="L661" s="240"/>
      <c r="M661" s="241"/>
      <c r="N661" s="178"/>
      <c r="O661" s="242"/>
      <c r="P661" s="243"/>
    </row>
    <row r="662" spans="2:16" ht="12.75">
      <c r="B662" s="238"/>
      <c r="H662" s="155"/>
      <c r="I662" s="239"/>
      <c r="L662" s="240"/>
      <c r="M662" s="241"/>
      <c r="N662" s="178"/>
      <c r="O662" s="242"/>
      <c r="P662" s="243"/>
    </row>
    <row r="663" spans="2:16" ht="12.75">
      <c r="B663" s="238"/>
      <c r="H663" s="155"/>
      <c r="I663" s="239"/>
      <c r="L663" s="240"/>
      <c r="M663" s="241"/>
      <c r="N663" s="178"/>
      <c r="O663" s="242"/>
      <c r="P663" s="243"/>
    </row>
    <row r="664" spans="2:16" ht="12.75">
      <c r="B664" s="238"/>
      <c r="H664" s="155"/>
      <c r="I664" s="239"/>
      <c r="L664" s="240"/>
      <c r="M664" s="241"/>
      <c r="N664" s="178"/>
      <c r="O664" s="242"/>
      <c r="P664" s="243"/>
    </row>
    <row r="665" spans="2:16" ht="12.75">
      <c r="B665" s="238"/>
      <c r="H665" s="155"/>
      <c r="I665" s="239"/>
      <c r="L665" s="240"/>
      <c r="M665" s="241"/>
      <c r="N665" s="178"/>
      <c r="O665" s="242"/>
      <c r="P665" s="243"/>
    </row>
    <row r="666" spans="2:16" ht="12.75">
      <c r="B666" s="238"/>
      <c r="H666" s="155"/>
      <c r="I666" s="239"/>
      <c r="L666" s="240"/>
      <c r="M666" s="241"/>
      <c r="N666" s="178"/>
      <c r="O666" s="242"/>
      <c r="P666" s="243"/>
    </row>
    <row r="667" spans="2:16" ht="12.75">
      <c r="B667" s="238"/>
      <c r="H667" s="155"/>
      <c r="I667" s="239"/>
      <c r="L667" s="240"/>
      <c r="M667" s="241"/>
      <c r="N667" s="178"/>
      <c r="O667" s="242"/>
      <c r="P667" s="243"/>
    </row>
    <row r="668" spans="2:16" ht="12.75">
      <c r="B668" s="238"/>
      <c r="H668" s="155"/>
      <c r="I668" s="239"/>
      <c r="L668" s="240"/>
      <c r="M668" s="241"/>
      <c r="N668" s="178"/>
      <c r="O668" s="242"/>
      <c r="P668" s="243"/>
    </row>
    <row r="669" spans="2:16" ht="12.75">
      <c r="B669" s="238"/>
      <c r="H669" s="155"/>
      <c r="I669" s="239"/>
      <c r="L669" s="240"/>
      <c r="M669" s="241"/>
      <c r="N669" s="178"/>
      <c r="O669" s="242"/>
      <c r="P669" s="243"/>
    </row>
    <row r="670" spans="2:16" ht="12.75">
      <c r="B670" s="238"/>
      <c r="H670" s="155"/>
      <c r="I670" s="239"/>
      <c r="L670" s="240"/>
      <c r="M670" s="241"/>
      <c r="N670" s="178"/>
      <c r="O670" s="242"/>
      <c r="P670" s="243"/>
    </row>
    <row r="671" spans="2:16" ht="12.75">
      <c r="B671" s="238"/>
      <c r="H671" s="155"/>
      <c r="I671" s="239"/>
      <c r="L671" s="240"/>
      <c r="M671" s="241"/>
      <c r="N671" s="178"/>
      <c r="O671" s="242"/>
      <c r="P671" s="243"/>
    </row>
    <row r="672" spans="2:16" ht="12.75">
      <c r="B672" s="238"/>
      <c r="H672" s="155"/>
      <c r="I672" s="239"/>
      <c r="L672" s="240"/>
      <c r="M672" s="241"/>
      <c r="N672" s="178"/>
      <c r="O672" s="242"/>
      <c r="P672" s="243"/>
    </row>
    <row r="673" spans="2:16" ht="12.75">
      <c r="B673" s="238"/>
      <c r="H673" s="155"/>
      <c r="I673" s="239"/>
      <c r="L673" s="240"/>
      <c r="M673" s="241"/>
      <c r="N673" s="178"/>
      <c r="O673" s="242"/>
      <c r="P673" s="243"/>
    </row>
    <row r="674" spans="2:16" ht="12.75">
      <c r="B674" s="238"/>
      <c r="H674" s="155"/>
      <c r="I674" s="239"/>
      <c r="L674" s="240"/>
      <c r="M674" s="241"/>
      <c r="N674" s="178"/>
      <c r="O674" s="242"/>
      <c r="P674" s="243"/>
    </row>
    <row r="675" spans="2:16" ht="12.75">
      <c r="B675" s="238"/>
      <c r="H675" s="155"/>
      <c r="I675" s="239"/>
      <c r="L675" s="240"/>
      <c r="M675" s="241"/>
      <c r="N675" s="178"/>
      <c r="O675" s="242"/>
      <c r="P675" s="243"/>
    </row>
    <row r="676" spans="2:16" ht="12.75">
      <c r="B676" s="238"/>
      <c r="H676" s="155"/>
      <c r="I676" s="239"/>
      <c r="L676" s="240"/>
      <c r="M676" s="241"/>
      <c r="N676" s="178"/>
      <c r="O676" s="242"/>
      <c r="P676" s="243"/>
    </row>
    <row r="677" spans="2:16" ht="12.75">
      <c r="B677" s="238"/>
      <c r="H677" s="155"/>
      <c r="I677" s="239"/>
      <c r="L677" s="240"/>
      <c r="M677" s="241"/>
      <c r="N677" s="178"/>
      <c r="O677" s="242"/>
      <c r="P677" s="243"/>
    </row>
    <row r="678" spans="2:16" ht="12.75">
      <c r="B678" s="238"/>
      <c r="H678" s="155"/>
      <c r="I678" s="239"/>
      <c r="L678" s="240"/>
      <c r="M678" s="241"/>
      <c r="N678" s="178"/>
      <c r="O678" s="242"/>
      <c r="P678" s="243"/>
    </row>
    <row r="679" spans="2:16" ht="12.75">
      <c r="B679" s="238"/>
      <c r="H679" s="155"/>
      <c r="I679" s="239"/>
      <c r="L679" s="240"/>
      <c r="M679" s="241"/>
      <c r="N679" s="178"/>
      <c r="O679" s="242"/>
      <c r="P679" s="243"/>
    </row>
    <row r="680" spans="2:16" ht="12.75">
      <c r="B680" s="238"/>
      <c r="H680" s="155"/>
      <c r="I680" s="239"/>
      <c r="L680" s="240"/>
      <c r="M680" s="241"/>
      <c r="N680" s="178"/>
      <c r="O680" s="242"/>
      <c r="P680" s="243"/>
    </row>
    <row r="681" spans="2:16" ht="12.75">
      <c r="B681" s="238"/>
      <c r="H681" s="155"/>
      <c r="I681" s="239"/>
      <c r="L681" s="240"/>
      <c r="M681" s="241"/>
      <c r="N681" s="178"/>
      <c r="O681" s="242"/>
      <c r="P681" s="243"/>
    </row>
    <row r="682" spans="2:16" ht="12.75">
      <c r="B682" s="238"/>
      <c r="H682" s="155"/>
      <c r="I682" s="239"/>
      <c r="L682" s="240"/>
      <c r="M682" s="241"/>
      <c r="N682" s="178"/>
      <c r="O682" s="242"/>
      <c r="P682" s="243"/>
    </row>
    <row r="683" spans="2:16" ht="12.75">
      <c r="B683" s="238"/>
      <c r="H683" s="155"/>
      <c r="I683" s="239"/>
      <c r="L683" s="240"/>
      <c r="M683" s="241"/>
      <c r="N683" s="178"/>
      <c r="O683" s="242"/>
      <c r="P683" s="243"/>
    </row>
    <row r="684" spans="2:16" ht="12.75">
      <c r="B684" s="238"/>
      <c r="H684" s="155"/>
      <c r="I684" s="239"/>
      <c r="L684" s="240"/>
      <c r="M684" s="241"/>
      <c r="N684" s="178"/>
      <c r="O684" s="242"/>
      <c r="P684" s="243"/>
    </row>
    <row r="685" spans="2:16" ht="12.75">
      <c r="B685" s="238"/>
      <c r="H685" s="155"/>
      <c r="I685" s="239"/>
      <c r="L685" s="240"/>
      <c r="M685" s="241"/>
      <c r="N685" s="178"/>
      <c r="O685" s="242"/>
      <c r="P685" s="243"/>
    </row>
    <row r="686" spans="2:16" ht="12.75">
      <c r="B686" s="238"/>
      <c r="H686" s="155"/>
      <c r="I686" s="239"/>
      <c r="L686" s="240"/>
      <c r="M686" s="241"/>
      <c r="N686" s="178"/>
      <c r="O686" s="242"/>
      <c r="P686" s="243"/>
    </row>
    <row r="687" spans="2:16" ht="12.75">
      <c r="B687" s="238"/>
      <c r="H687" s="155"/>
      <c r="I687" s="239"/>
      <c r="L687" s="240"/>
      <c r="M687" s="241"/>
      <c r="N687" s="178"/>
      <c r="O687" s="242"/>
      <c r="P687" s="243"/>
    </row>
    <row r="688" spans="2:16" ht="12.75">
      <c r="B688" s="238"/>
      <c r="H688" s="155"/>
      <c r="I688" s="239"/>
      <c r="L688" s="240"/>
      <c r="M688" s="241"/>
      <c r="N688" s="178"/>
      <c r="O688" s="242"/>
      <c r="P688" s="243"/>
    </row>
    <row r="689" spans="2:16" ht="12.75">
      <c r="B689" s="238"/>
      <c r="H689" s="155"/>
      <c r="I689" s="239"/>
      <c r="L689" s="240"/>
      <c r="M689" s="241"/>
      <c r="N689" s="178"/>
      <c r="O689" s="242"/>
      <c r="P689" s="243"/>
    </row>
    <row r="690" spans="2:16" ht="12.75">
      <c r="B690" s="238"/>
      <c r="H690" s="155"/>
      <c r="I690" s="239"/>
      <c r="L690" s="240"/>
      <c r="M690" s="241"/>
      <c r="N690" s="178"/>
      <c r="O690" s="242"/>
      <c r="P690" s="243"/>
    </row>
    <row r="691" spans="2:16" ht="12.75">
      <c r="B691" s="238"/>
      <c r="H691" s="155"/>
      <c r="I691" s="239"/>
      <c r="L691" s="240"/>
      <c r="M691" s="241"/>
      <c r="N691" s="178"/>
      <c r="O691" s="242"/>
      <c r="P691" s="243"/>
    </row>
    <row r="692" spans="2:16" ht="12.75">
      <c r="B692" s="238"/>
      <c r="H692" s="155"/>
      <c r="I692" s="239"/>
      <c r="L692" s="240"/>
      <c r="M692" s="241"/>
      <c r="N692" s="178"/>
      <c r="O692" s="242"/>
      <c r="P692" s="243"/>
    </row>
    <row r="693" spans="2:16" ht="12.75">
      <c r="B693" s="238"/>
      <c r="H693" s="155"/>
      <c r="I693" s="239"/>
      <c r="L693" s="240"/>
      <c r="M693" s="241"/>
      <c r="N693" s="178"/>
      <c r="O693" s="242"/>
      <c r="P693" s="243"/>
    </row>
    <row r="694" spans="2:16" ht="12.75">
      <c r="B694" s="238"/>
      <c r="H694" s="155"/>
      <c r="I694" s="239"/>
      <c r="L694" s="240"/>
      <c r="M694" s="241"/>
      <c r="N694" s="178"/>
      <c r="O694" s="242"/>
      <c r="P694" s="243"/>
    </row>
    <row r="695" spans="2:16" ht="12.75">
      <c r="B695" s="238"/>
      <c r="H695" s="155"/>
      <c r="I695" s="239"/>
      <c r="L695" s="240"/>
      <c r="M695" s="241"/>
      <c r="N695" s="178"/>
      <c r="O695" s="242"/>
      <c r="P695" s="243"/>
    </row>
    <row r="696" spans="2:16" ht="12.75">
      <c r="B696" s="238"/>
      <c r="H696" s="155"/>
      <c r="I696" s="239"/>
      <c r="L696" s="240"/>
      <c r="M696" s="241"/>
      <c r="N696" s="178"/>
      <c r="O696" s="242"/>
      <c r="P696" s="243"/>
    </row>
    <row r="697" spans="2:16" ht="12.75">
      <c r="B697" s="238"/>
      <c r="H697" s="155"/>
      <c r="I697" s="239"/>
      <c r="L697" s="240"/>
      <c r="M697" s="241"/>
      <c r="N697" s="178"/>
      <c r="O697" s="242"/>
      <c r="P697" s="243"/>
    </row>
    <row r="698" spans="2:16" ht="12.75">
      <c r="B698" s="238"/>
      <c r="H698" s="155"/>
      <c r="I698" s="239"/>
      <c r="L698" s="240"/>
      <c r="M698" s="241"/>
      <c r="N698" s="178"/>
      <c r="O698" s="242"/>
      <c r="P698" s="243"/>
    </row>
    <row r="699" spans="2:16" ht="12.75">
      <c r="B699" s="238"/>
      <c r="H699" s="155"/>
      <c r="I699" s="239"/>
      <c r="L699" s="240"/>
      <c r="M699" s="241"/>
      <c r="N699" s="178"/>
      <c r="O699" s="242"/>
      <c r="P699" s="243"/>
    </row>
    <row r="700" spans="2:16" ht="12.75">
      <c r="B700" s="238"/>
      <c r="H700" s="155"/>
      <c r="I700" s="239"/>
      <c r="L700" s="240"/>
      <c r="M700" s="241"/>
      <c r="N700" s="178"/>
      <c r="O700" s="242"/>
      <c r="P700" s="243"/>
    </row>
    <row r="701" spans="2:16" ht="12.75">
      <c r="B701" s="238"/>
      <c r="H701" s="155"/>
      <c r="I701" s="239"/>
      <c r="L701" s="240"/>
      <c r="M701" s="241"/>
      <c r="N701" s="178"/>
      <c r="O701" s="242"/>
      <c r="P701" s="243"/>
    </row>
    <row r="702" spans="2:16" ht="12.75">
      <c r="B702" s="238"/>
      <c r="H702" s="155"/>
      <c r="I702" s="239"/>
      <c r="L702" s="240"/>
      <c r="M702" s="241"/>
      <c r="N702" s="178"/>
      <c r="O702" s="242"/>
      <c r="P702" s="243"/>
    </row>
    <row r="703" spans="2:16" ht="12.75">
      <c r="B703" s="238"/>
      <c r="H703" s="155"/>
      <c r="I703" s="239"/>
      <c r="L703" s="240"/>
      <c r="M703" s="241"/>
      <c r="N703" s="178"/>
      <c r="O703" s="242"/>
      <c r="P703" s="243"/>
    </row>
    <row r="704" spans="2:16" ht="12.75">
      <c r="B704" s="238"/>
      <c r="H704" s="155"/>
      <c r="I704" s="239"/>
      <c r="L704" s="240"/>
      <c r="M704" s="241"/>
      <c r="N704" s="178"/>
      <c r="O704" s="242"/>
      <c r="P704" s="243"/>
    </row>
    <row r="705" spans="2:16" ht="12.75">
      <c r="B705" s="238"/>
      <c r="H705" s="155"/>
      <c r="I705" s="239"/>
      <c r="L705" s="240"/>
      <c r="M705" s="241"/>
      <c r="N705" s="178"/>
      <c r="O705" s="242"/>
      <c r="P705" s="243"/>
    </row>
    <row r="706" spans="2:16" ht="12.75">
      <c r="B706" s="238"/>
      <c r="H706" s="155"/>
      <c r="I706" s="239"/>
      <c r="L706" s="240"/>
      <c r="M706" s="241"/>
      <c r="N706" s="178"/>
      <c r="O706" s="242"/>
      <c r="P706" s="243"/>
    </row>
    <row r="707" spans="2:16" ht="12.75">
      <c r="B707" s="238"/>
      <c r="H707" s="155"/>
      <c r="I707" s="239"/>
      <c r="L707" s="240"/>
      <c r="M707" s="241"/>
      <c r="N707" s="178"/>
      <c r="O707" s="242"/>
      <c r="P707" s="243"/>
    </row>
    <row r="708" spans="2:16" ht="12.75">
      <c r="B708" s="238"/>
      <c r="H708" s="155"/>
      <c r="I708" s="239"/>
      <c r="L708" s="240"/>
      <c r="M708" s="241"/>
      <c r="N708" s="178"/>
      <c r="O708" s="242"/>
      <c r="P708" s="243"/>
    </row>
    <row r="709" spans="2:16" ht="12.75">
      <c r="B709" s="238"/>
      <c r="H709" s="155"/>
      <c r="I709" s="239"/>
      <c r="L709" s="240"/>
      <c r="M709" s="241"/>
      <c r="N709" s="178"/>
      <c r="O709" s="242"/>
      <c r="P709" s="243"/>
    </row>
    <row r="710" spans="2:16" ht="12.75">
      <c r="B710" s="238"/>
      <c r="H710" s="155"/>
      <c r="I710" s="239"/>
      <c r="L710" s="240"/>
      <c r="M710" s="241"/>
      <c r="N710" s="178"/>
      <c r="O710" s="242"/>
      <c r="P710" s="243"/>
    </row>
    <row r="711" spans="2:16" ht="12.75">
      <c r="B711" s="238"/>
      <c r="H711" s="155"/>
      <c r="I711" s="239"/>
      <c r="L711" s="240"/>
      <c r="M711" s="241"/>
      <c r="N711" s="178"/>
      <c r="O711" s="242"/>
      <c r="P711" s="243"/>
    </row>
    <row r="712" spans="2:16" ht="12.75">
      <c r="B712" s="238"/>
      <c r="H712" s="155"/>
      <c r="I712" s="239"/>
      <c r="L712" s="240"/>
      <c r="M712" s="241"/>
      <c r="N712" s="178"/>
      <c r="O712" s="242"/>
      <c r="P712" s="243"/>
    </row>
    <row r="713" spans="2:16" ht="12.75">
      <c r="B713" s="238"/>
      <c r="H713" s="155"/>
      <c r="I713" s="239"/>
      <c r="L713" s="240"/>
      <c r="M713" s="241"/>
      <c r="N713" s="178"/>
      <c r="O713" s="242"/>
      <c r="P713" s="243"/>
    </row>
    <row r="714" spans="2:16" ht="12.75">
      <c r="B714" s="238"/>
      <c r="H714" s="155"/>
      <c r="I714" s="239"/>
      <c r="L714" s="240"/>
      <c r="M714" s="241"/>
      <c r="N714" s="178"/>
      <c r="O714" s="242"/>
      <c r="P714" s="243"/>
    </row>
    <row r="715" spans="2:16" ht="12.75">
      <c r="B715" s="238"/>
      <c r="H715" s="155"/>
      <c r="I715" s="239"/>
      <c r="L715" s="240"/>
      <c r="M715" s="241"/>
      <c r="N715" s="178"/>
      <c r="O715" s="242"/>
      <c r="P715" s="243"/>
    </row>
    <row r="716" spans="2:16" ht="12.75">
      <c r="B716" s="238"/>
      <c r="H716" s="155"/>
      <c r="I716" s="239"/>
      <c r="L716" s="240"/>
      <c r="M716" s="241"/>
      <c r="N716" s="178"/>
      <c r="O716" s="242"/>
      <c r="P716" s="243"/>
    </row>
    <row r="717" spans="2:16" ht="12.75">
      <c r="B717" s="238"/>
      <c r="H717" s="155"/>
      <c r="I717" s="239"/>
      <c r="L717" s="240"/>
      <c r="M717" s="241"/>
      <c r="N717" s="178"/>
      <c r="O717" s="242"/>
      <c r="P717" s="243"/>
    </row>
    <row r="718" spans="2:16" ht="12.75">
      <c r="B718" s="238"/>
      <c r="H718" s="155"/>
      <c r="I718" s="239"/>
      <c r="L718" s="240"/>
      <c r="M718" s="241"/>
      <c r="N718" s="178"/>
      <c r="O718" s="242"/>
      <c r="P718" s="243"/>
    </row>
    <row r="719" spans="2:16" ht="12.75">
      <c r="B719" s="238"/>
      <c r="H719" s="155"/>
      <c r="I719" s="239"/>
      <c r="L719" s="240"/>
      <c r="M719" s="241"/>
      <c r="N719" s="178"/>
      <c r="O719" s="242"/>
      <c r="P719" s="243"/>
    </row>
    <row r="720" spans="2:16" ht="12.75">
      <c r="B720" s="238"/>
      <c r="H720" s="155"/>
      <c r="I720" s="239"/>
      <c r="L720" s="240"/>
      <c r="M720" s="241"/>
      <c r="N720" s="178"/>
      <c r="O720" s="242"/>
      <c r="P720" s="243"/>
    </row>
    <row r="721" spans="2:16" ht="12.75">
      <c r="B721" s="238"/>
      <c r="H721" s="155"/>
      <c r="I721" s="239"/>
      <c r="L721" s="240"/>
      <c r="M721" s="241"/>
      <c r="N721" s="178"/>
      <c r="O721" s="242"/>
      <c r="P721" s="243"/>
    </row>
    <row r="722" spans="2:16" ht="12.75">
      <c r="B722" s="238"/>
      <c r="H722" s="155"/>
      <c r="I722" s="239"/>
      <c r="L722" s="240"/>
      <c r="M722" s="241"/>
      <c r="N722" s="178"/>
      <c r="O722" s="242"/>
      <c r="P722" s="243"/>
    </row>
    <row r="723" spans="2:16" ht="12.75">
      <c r="B723" s="238"/>
      <c r="H723" s="155"/>
      <c r="I723" s="239"/>
      <c r="L723" s="240"/>
      <c r="M723" s="241"/>
      <c r="N723" s="178"/>
      <c r="O723" s="242"/>
      <c r="P723" s="243"/>
    </row>
    <row r="724" spans="2:16" ht="12.75">
      <c r="B724" s="238"/>
      <c r="H724" s="155"/>
      <c r="I724" s="239"/>
      <c r="L724" s="240"/>
      <c r="M724" s="241"/>
      <c r="N724" s="178"/>
      <c r="O724" s="242"/>
      <c r="P724" s="243"/>
    </row>
    <row r="725" spans="2:16" ht="12.75">
      <c r="B725" s="238"/>
      <c r="H725" s="155"/>
      <c r="I725" s="239"/>
      <c r="L725" s="240"/>
      <c r="M725" s="241"/>
      <c r="N725" s="178"/>
      <c r="O725" s="242"/>
      <c r="P725" s="243"/>
    </row>
    <row r="726" spans="2:16" ht="12.75">
      <c r="B726" s="238"/>
      <c r="H726" s="155"/>
      <c r="I726" s="239"/>
      <c r="L726" s="240"/>
      <c r="M726" s="241"/>
      <c r="N726" s="178"/>
      <c r="O726" s="242"/>
      <c r="P726" s="243"/>
    </row>
    <row r="727" spans="2:16" ht="12.75">
      <c r="B727" s="238"/>
      <c r="H727" s="155"/>
      <c r="I727" s="239"/>
      <c r="L727" s="240"/>
      <c r="M727" s="241"/>
      <c r="N727" s="178"/>
      <c r="O727" s="242"/>
      <c r="P727" s="243"/>
    </row>
    <row r="728" spans="2:16" ht="12.75">
      <c r="B728" s="238"/>
      <c r="H728" s="155"/>
      <c r="I728" s="239"/>
      <c r="L728" s="240"/>
      <c r="M728" s="241"/>
      <c r="N728" s="178"/>
      <c r="O728" s="242"/>
      <c r="P728" s="243"/>
    </row>
    <row r="729" spans="2:16" ht="12.75">
      <c r="B729" s="238"/>
      <c r="H729" s="155"/>
      <c r="I729" s="239"/>
      <c r="L729" s="240"/>
      <c r="M729" s="241"/>
      <c r="N729" s="178"/>
      <c r="O729" s="242"/>
      <c r="P729" s="243"/>
    </row>
    <row r="730" spans="2:16" ht="12.75">
      <c r="B730" s="238"/>
      <c r="H730" s="155"/>
      <c r="I730" s="239"/>
      <c r="L730" s="240"/>
      <c r="M730" s="241"/>
      <c r="N730" s="178"/>
      <c r="O730" s="242"/>
      <c r="P730" s="243"/>
    </row>
    <row r="731" spans="2:16" ht="12.75">
      <c r="B731" s="238"/>
      <c r="H731" s="155"/>
      <c r="I731" s="239"/>
      <c r="L731" s="240"/>
      <c r="M731" s="241"/>
      <c r="N731" s="178"/>
      <c r="O731" s="242"/>
      <c r="P731" s="243"/>
    </row>
    <row r="732" spans="2:16" ht="12.75">
      <c r="B732" s="238"/>
      <c r="H732" s="155"/>
      <c r="I732" s="239"/>
      <c r="L732" s="240"/>
      <c r="M732" s="241"/>
      <c r="N732" s="178"/>
      <c r="O732" s="242"/>
      <c r="P732" s="243"/>
    </row>
    <row r="733" spans="2:16" ht="12.75">
      <c r="B733" s="238"/>
      <c r="H733" s="155"/>
      <c r="I733" s="239"/>
      <c r="L733" s="240"/>
      <c r="M733" s="241"/>
      <c r="N733" s="178"/>
      <c r="O733" s="242"/>
      <c r="P733" s="243"/>
    </row>
    <row r="734" spans="2:16" ht="12.75">
      <c r="B734" s="238"/>
      <c r="H734" s="155"/>
      <c r="I734" s="239"/>
      <c r="L734" s="240"/>
      <c r="M734" s="241"/>
      <c r="N734" s="178"/>
      <c r="O734" s="242"/>
      <c r="P734" s="243"/>
    </row>
    <row r="735" spans="2:16" ht="12.75">
      <c r="B735" s="238"/>
      <c r="H735" s="155"/>
      <c r="I735" s="239"/>
      <c r="L735" s="240"/>
      <c r="M735" s="241"/>
      <c r="N735" s="178"/>
      <c r="O735" s="242"/>
      <c r="P735" s="243"/>
    </row>
    <row r="736" spans="2:16" ht="12.75">
      <c r="B736" s="238"/>
      <c r="H736" s="155"/>
      <c r="I736" s="239"/>
      <c r="L736" s="240"/>
      <c r="M736" s="241"/>
      <c r="N736" s="178"/>
      <c r="O736" s="242"/>
      <c r="P736" s="243"/>
    </row>
    <row r="737" spans="2:16" ht="12.75">
      <c r="B737" s="238"/>
      <c r="H737" s="155"/>
      <c r="I737" s="239"/>
      <c r="L737" s="240"/>
      <c r="M737" s="241"/>
      <c r="N737" s="178"/>
      <c r="O737" s="242"/>
      <c r="P737" s="243"/>
    </row>
    <row r="738" spans="2:16" ht="12.75">
      <c r="B738" s="238"/>
      <c r="H738" s="155"/>
      <c r="I738" s="239"/>
      <c r="L738" s="240"/>
      <c r="M738" s="241"/>
      <c r="N738" s="178"/>
      <c r="O738" s="242"/>
      <c r="P738" s="243"/>
    </row>
    <row r="739" spans="2:16" ht="12.75">
      <c r="B739" s="238"/>
      <c r="H739" s="155"/>
      <c r="I739" s="239"/>
      <c r="L739" s="240"/>
      <c r="M739" s="241"/>
      <c r="N739" s="178"/>
      <c r="O739" s="242"/>
      <c r="P739" s="243"/>
    </row>
    <row r="740" spans="2:16" ht="12.75">
      <c r="B740" s="238"/>
      <c r="H740" s="155"/>
      <c r="I740" s="239"/>
      <c r="L740" s="240"/>
      <c r="M740" s="241"/>
      <c r="N740" s="178"/>
      <c r="O740" s="242"/>
      <c r="P740" s="243"/>
    </row>
    <row r="741" spans="2:16" ht="12.75">
      <c r="B741" s="238"/>
      <c r="H741" s="155"/>
      <c r="I741" s="239"/>
      <c r="L741" s="240"/>
      <c r="M741" s="241"/>
      <c r="N741" s="178"/>
      <c r="O741" s="242"/>
      <c r="P741" s="243"/>
    </row>
    <row r="742" spans="2:16" ht="12.75">
      <c r="B742" s="238"/>
      <c r="H742" s="155"/>
      <c r="I742" s="239"/>
      <c r="L742" s="240"/>
      <c r="M742" s="241"/>
      <c r="N742" s="178"/>
      <c r="O742" s="242"/>
      <c r="P742" s="243"/>
    </row>
    <row r="743" spans="2:16" ht="12.75">
      <c r="B743" s="238"/>
      <c r="H743" s="155"/>
      <c r="I743" s="239"/>
      <c r="L743" s="240"/>
      <c r="M743" s="241"/>
      <c r="N743" s="178"/>
      <c r="O743" s="242"/>
      <c r="P743" s="243"/>
    </row>
    <row r="744" spans="2:16" ht="12.75">
      <c r="B744" s="238"/>
      <c r="H744" s="155"/>
      <c r="I744" s="239"/>
      <c r="L744" s="240"/>
      <c r="M744" s="241"/>
      <c r="N744" s="178"/>
      <c r="O744" s="242"/>
      <c r="P744" s="243"/>
    </row>
    <row r="745" spans="2:16" ht="12.75">
      <c r="B745" s="238"/>
      <c r="H745" s="155"/>
      <c r="I745" s="239"/>
      <c r="L745" s="240"/>
      <c r="M745" s="241"/>
      <c r="N745" s="178"/>
      <c r="O745" s="242"/>
      <c r="P745" s="243"/>
    </row>
    <row r="746" spans="2:16" ht="12.75">
      <c r="B746" s="238"/>
      <c r="H746" s="155"/>
      <c r="I746" s="239"/>
      <c r="L746" s="240"/>
      <c r="M746" s="241"/>
      <c r="N746" s="178"/>
      <c r="O746" s="242"/>
      <c r="P746" s="243"/>
    </row>
    <row r="747" spans="2:16" ht="12.75">
      <c r="B747" s="238"/>
      <c r="H747" s="155"/>
      <c r="I747" s="239"/>
      <c r="L747" s="240"/>
      <c r="M747" s="241"/>
      <c r="N747" s="178"/>
      <c r="O747" s="242"/>
      <c r="P747" s="243"/>
    </row>
    <row r="748" spans="2:16" ht="12.75">
      <c r="B748" s="238"/>
      <c r="H748" s="155"/>
      <c r="I748" s="239"/>
      <c r="L748" s="240"/>
      <c r="M748" s="241"/>
      <c r="N748" s="178"/>
      <c r="O748" s="242"/>
      <c r="P748" s="243"/>
    </row>
    <row r="749" spans="2:16" ht="12.75">
      <c r="B749" s="238"/>
      <c r="H749" s="155"/>
      <c r="I749" s="239"/>
      <c r="L749" s="240"/>
      <c r="M749" s="241"/>
      <c r="N749" s="178"/>
      <c r="O749" s="242"/>
      <c r="P749" s="243"/>
    </row>
    <row r="750" spans="2:16" ht="12.75">
      <c r="B750" s="238"/>
      <c r="H750" s="155"/>
      <c r="I750" s="239"/>
      <c r="L750" s="240"/>
      <c r="M750" s="241"/>
      <c r="N750" s="178"/>
      <c r="O750" s="242"/>
      <c r="P750" s="243"/>
    </row>
    <row r="751" spans="2:16" ht="12.75">
      <c r="B751" s="238"/>
      <c r="H751" s="155"/>
      <c r="I751" s="239"/>
      <c r="L751" s="240"/>
      <c r="M751" s="241"/>
      <c r="N751" s="178"/>
      <c r="O751" s="242"/>
      <c r="P751" s="243"/>
    </row>
    <row r="752" spans="2:16" ht="12.75">
      <c r="B752" s="238"/>
      <c r="H752" s="155"/>
      <c r="I752" s="239"/>
      <c r="L752" s="240"/>
      <c r="M752" s="241"/>
      <c r="N752" s="178"/>
      <c r="O752" s="242"/>
      <c r="P752" s="243"/>
    </row>
    <row r="753" spans="2:16" ht="12.75">
      <c r="B753" s="238"/>
      <c r="H753" s="155"/>
      <c r="I753" s="239"/>
      <c r="L753" s="240"/>
      <c r="M753" s="241"/>
      <c r="N753" s="178"/>
      <c r="O753" s="242"/>
      <c r="P753" s="243"/>
    </row>
    <row r="754" spans="2:16" ht="12.75">
      <c r="B754" s="238"/>
      <c r="H754" s="155"/>
      <c r="I754" s="239"/>
      <c r="L754" s="240"/>
      <c r="M754" s="241"/>
      <c r="N754" s="178"/>
      <c r="O754" s="242"/>
      <c r="P754" s="243"/>
    </row>
    <row r="755" spans="2:16" ht="12.75">
      <c r="B755" s="238"/>
      <c r="H755" s="155"/>
      <c r="I755" s="239"/>
      <c r="L755" s="240"/>
      <c r="M755" s="241"/>
      <c r="N755" s="178"/>
      <c r="O755" s="242"/>
      <c r="P755" s="243"/>
    </row>
    <row r="756" spans="2:16" ht="12.75">
      <c r="B756" s="238"/>
      <c r="H756" s="155"/>
      <c r="I756" s="239"/>
      <c r="L756" s="240"/>
      <c r="M756" s="241"/>
      <c r="N756" s="178"/>
      <c r="O756" s="242"/>
      <c r="P756" s="243"/>
    </row>
    <row r="757" spans="2:16" ht="12.75">
      <c r="B757" s="238"/>
      <c r="H757" s="155"/>
      <c r="I757" s="239"/>
      <c r="L757" s="240"/>
      <c r="M757" s="241"/>
      <c r="N757" s="178"/>
      <c r="O757" s="242"/>
      <c r="P757" s="243"/>
    </row>
    <row r="758" spans="2:16" ht="12.75">
      <c r="B758" s="238"/>
      <c r="H758" s="155"/>
      <c r="I758" s="239"/>
      <c r="L758" s="240"/>
      <c r="M758" s="241"/>
      <c r="N758" s="178"/>
      <c r="O758" s="242"/>
      <c r="P758" s="243"/>
    </row>
    <row r="759" spans="2:16" ht="12.75">
      <c r="B759" s="238"/>
      <c r="H759" s="155"/>
      <c r="I759" s="239"/>
      <c r="L759" s="240"/>
      <c r="M759" s="241"/>
      <c r="N759" s="178"/>
      <c r="O759" s="242"/>
      <c r="P759" s="243"/>
    </row>
    <row r="760" spans="2:16" ht="12.75">
      <c r="B760" s="238"/>
      <c r="H760" s="155"/>
      <c r="I760" s="239"/>
      <c r="L760" s="240"/>
      <c r="M760" s="241"/>
      <c r="N760" s="178"/>
      <c r="O760" s="242"/>
      <c r="P760" s="243"/>
    </row>
    <row r="761" spans="2:16" ht="12.75">
      <c r="B761" s="238"/>
      <c r="H761" s="155"/>
      <c r="I761" s="239"/>
      <c r="L761" s="240"/>
      <c r="M761" s="241"/>
      <c r="N761" s="178"/>
      <c r="O761" s="242"/>
      <c r="P761" s="243"/>
    </row>
    <row r="762" spans="2:16" ht="12.75">
      <c r="B762" s="238"/>
      <c r="H762" s="155"/>
      <c r="I762" s="239"/>
      <c r="L762" s="240"/>
      <c r="M762" s="241"/>
      <c r="N762" s="178"/>
      <c r="O762" s="242"/>
      <c r="P762" s="243"/>
    </row>
    <row r="763" spans="2:16" ht="12.75">
      <c r="B763" s="238"/>
      <c r="H763" s="155"/>
      <c r="I763" s="239"/>
      <c r="L763" s="240"/>
      <c r="M763" s="241"/>
      <c r="N763" s="178"/>
      <c r="O763" s="242"/>
      <c r="P763" s="243"/>
    </row>
    <row r="764" spans="2:16" ht="12.75">
      <c r="B764" s="238"/>
      <c r="H764" s="155"/>
      <c r="I764" s="239"/>
      <c r="L764" s="240"/>
      <c r="M764" s="241"/>
      <c r="N764" s="178"/>
      <c r="O764" s="242"/>
      <c r="P764" s="243"/>
    </row>
    <row r="765" spans="2:16" ht="12.75">
      <c r="B765" s="238"/>
      <c r="H765" s="155"/>
      <c r="I765" s="239"/>
      <c r="L765" s="240"/>
      <c r="M765" s="241"/>
      <c r="N765" s="178"/>
      <c r="O765" s="242"/>
      <c r="P765" s="243"/>
    </row>
    <row r="766" spans="2:16" ht="12.75">
      <c r="B766" s="238"/>
      <c r="H766" s="155"/>
      <c r="I766" s="239"/>
      <c r="L766" s="240"/>
      <c r="M766" s="241"/>
      <c r="N766" s="178"/>
      <c r="O766" s="242"/>
      <c r="P766" s="243"/>
    </row>
    <row r="767" spans="2:16" ht="12.75">
      <c r="B767" s="238"/>
      <c r="H767" s="155"/>
      <c r="I767" s="239"/>
      <c r="L767" s="240"/>
      <c r="M767" s="241"/>
      <c r="N767" s="178"/>
      <c r="O767" s="242"/>
      <c r="P767" s="243"/>
    </row>
    <row r="768" spans="2:16" ht="12.75">
      <c r="B768" s="238"/>
      <c r="H768" s="155"/>
      <c r="I768" s="239"/>
      <c r="L768" s="240"/>
      <c r="M768" s="241"/>
      <c r="N768" s="178"/>
      <c r="O768" s="242"/>
      <c r="P768" s="243"/>
    </row>
    <row r="769" spans="2:16" ht="12.75">
      <c r="B769" s="238"/>
      <c r="H769" s="155"/>
      <c r="I769" s="239"/>
      <c r="L769" s="240"/>
      <c r="M769" s="241"/>
      <c r="N769" s="178"/>
      <c r="O769" s="242"/>
      <c r="P769" s="243"/>
    </row>
    <row r="770" spans="2:16" ht="12.75">
      <c r="B770" s="238"/>
      <c r="H770" s="155"/>
      <c r="I770" s="239"/>
      <c r="L770" s="240"/>
      <c r="M770" s="241"/>
      <c r="N770" s="178"/>
      <c r="O770" s="242"/>
      <c r="P770" s="243"/>
    </row>
    <row r="771" spans="2:16" ht="12.75">
      <c r="B771" s="238"/>
      <c r="H771" s="155"/>
      <c r="I771" s="239"/>
      <c r="L771" s="240"/>
      <c r="M771" s="241"/>
      <c r="N771" s="178"/>
      <c r="O771" s="242"/>
      <c r="P771" s="243"/>
    </row>
    <row r="772" spans="2:16" ht="12.75">
      <c r="B772" s="238"/>
      <c r="H772" s="155"/>
      <c r="I772" s="239"/>
      <c r="L772" s="240"/>
      <c r="M772" s="241"/>
      <c r="N772" s="178"/>
      <c r="O772" s="242"/>
      <c r="P772" s="243"/>
    </row>
    <row r="773" spans="2:16" ht="12.75">
      <c r="B773" s="238"/>
      <c r="H773" s="155"/>
      <c r="I773" s="239"/>
      <c r="L773" s="240"/>
      <c r="M773" s="241"/>
      <c r="N773" s="178"/>
      <c r="O773" s="242"/>
      <c r="P773" s="243"/>
    </row>
    <row r="774" spans="2:16" ht="12.75">
      <c r="B774" s="238"/>
      <c r="H774" s="155"/>
      <c r="I774" s="239"/>
      <c r="L774" s="240"/>
      <c r="M774" s="241"/>
      <c r="N774" s="178"/>
      <c r="O774" s="242"/>
      <c r="P774" s="243"/>
    </row>
    <row r="775" spans="2:16" ht="12.75">
      <c r="B775" s="238"/>
      <c r="H775" s="155"/>
      <c r="I775" s="239"/>
      <c r="L775" s="240"/>
      <c r="M775" s="241"/>
      <c r="N775" s="178"/>
      <c r="O775" s="242"/>
      <c r="P775" s="243"/>
    </row>
    <row r="776" spans="2:16" ht="12.75">
      <c r="B776" s="238"/>
      <c r="H776" s="155"/>
      <c r="I776" s="239"/>
      <c r="L776" s="240"/>
      <c r="M776" s="241"/>
      <c r="N776" s="178"/>
      <c r="O776" s="242"/>
      <c r="P776" s="243"/>
    </row>
    <row r="777" spans="2:16" ht="12.75">
      <c r="B777" s="238"/>
      <c r="H777" s="155"/>
      <c r="I777" s="239"/>
      <c r="L777" s="240"/>
      <c r="M777" s="241"/>
      <c r="N777" s="178"/>
      <c r="O777" s="242"/>
      <c r="P777" s="243"/>
    </row>
    <row r="778" spans="2:16" ht="12.75">
      <c r="B778" s="238"/>
      <c r="H778" s="155"/>
      <c r="I778" s="239"/>
      <c r="L778" s="240"/>
      <c r="M778" s="241"/>
      <c r="N778" s="178"/>
      <c r="O778" s="242"/>
      <c r="P778" s="243"/>
    </row>
    <row r="779" spans="2:16" ht="12.75">
      <c r="B779" s="238"/>
      <c r="H779" s="155"/>
      <c r="I779" s="239"/>
      <c r="L779" s="240"/>
      <c r="M779" s="241"/>
      <c r="N779" s="178"/>
      <c r="O779" s="242"/>
      <c r="P779" s="243"/>
    </row>
    <row r="780" spans="2:16" ht="12.75">
      <c r="B780" s="238"/>
      <c r="H780" s="155"/>
      <c r="I780" s="239"/>
      <c r="L780" s="240"/>
      <c r="M780" s="241"/>
      <c r="N780" s="178"/>
      <c r="O780" s="242"/>
      <c r="P780" s="243"/>
    </row>
    <row r="781" spans="2:16" ht="12.75">
      <c r="B781" s="238"/>
      <c r="H781" s="155"/>
      <c r="I781" s="239"/>
      <c r="L781" s="240"/>
      <c r="M781" s="241"/>
      <c r="N781" s="178"/>
      <c r="O781" s="242"/>
      <c r="P781" s="243"/>
    </row>
    <row r="782" spans="2:16" ht="12.75">
      <c r="B782" s="238"/>
      <c r="H782" s="155"/>
      <c r="I782" s="239"/>
      <c r="L782" s="240"/>
      <c r="M782" s="241"/>
      <c r="N782" s="178"/>
      <c r="O782" s="242"/>
      <c r="P782" s="243"/>
    </row>
    <row r="783" spans="2:16" ht="12.75">
      <c r="B783" s="238"/>
      <c r="H783" s="155"/>
      <c r="I783" s="239"/>
      <c r="L783" s="240"/>
      <c r="M783" s="241"/>
      <c r="N783" s="178"/>
      <c r="O783" s="242"/>
      <c r="P783" s="243"/>
    </row>
    <row r="784" spans="2:16" ht="12.75">
      <c r="B784" s="238"/>
      <c r="H784" s="155"/>
      <c r="I784" s="239"/>
      <c r="L784" s="240"/>
      <c r="M784" s="241"/>
      <c r="N784" s="178"/>
      <c r="O784" s="242"/>
      <c r="P784" s="243"/>
    </row>
    <row r="785" spans="2:16" ht="12.75">
      <c r="B785" s="238"/>
      <c r="H785" s="155"/>
      <c r="I785" s="239"/>
      <c r="L785" s="240"/>
      <c r="M785" s="241"/>
      <c r="N785" s="178"/>
      <c r="O785" s="242"/>
      <c r="P785" s="243"/>
    </row>
    <row r="786" spans="2:16" ht="12.75">
      <c r="B786" s="238"/>
      <c r="H786" s="155"/>
      <c r="I786" s="239"/>
      <c r="L786" s="240"/>
      <c r="M786" s="241"/>
      <c r="N786" s="178"/>
      <c r="O786" s="242"/>
      <c r="P786" s="243"/>
    </row>
    <row r="787" spans="2:16" ht="12.75">
      <c r="B787" s="238"/>
      <c r="H787" s="155"/>
      <c r="I787" s="239"/>
      <c r="L787" s="240"/>
      <c r="M787" s="241"/>
      <c r="N787" s="178"/>
      <c r="O787" s="242"/>
      <c r="P787" s="243"/>
    </row>
    <row r="788" spans="2:16" ht="12.75">
      <c r="B788" s="238"/>
      <c r="H788" s="155"/>
      <c r="I788" s="239"/>
      <c r="L788" s="240"/>
      <c r="M788" s="241"/>
      <c r="N788" s="178"/>
      <c r="O788" s="242"/>
      <c r="P788" s="243"/>
    </row>
    <row r="789" spans="2:16" ht="12.75">
      <c r="B789" s="238"/>
      <c r="H789" s="155"/>
      <c r="I789" s="239"/>
      <c r="L789" s="240"/>
      <c r="M789" s="241"/>
      <c r="N789" s="178"/>
      <c r="O789" s="242"/>
      <c r="P789" s="243"/>
    </row>
    <row r="790" spans="2:16" ht="12.75">
      <c r="B790" s="238"/>
      <c r="H790" s="155"/>
      <c r="I790" s="239"/>
      <c r="L790" s="240"/>
      <c r="M790" s="241"/>
      <c r="N790" s="178"/>
      <c r="O790" s="242"/>
      <c r="P790" s="243"/>
    </row>
    <row r="791" spans="2:16" ht="12.75">
      <c r="B791" s="238"/>
      <c r="H791" s="155"/>
      <c r="I791" s="239"/>
      <c r="L791" s="240"/>
      <c r="M791" s="241"/>
      <c r="N791" s="178"/>
      <c r="O791" s="242"/>
      <c r="P791" s="243"/>
    </row>
    <row r="792" spans="2:16" ht="12.75">
      <c r="B792" s="238"/>
      <c r="H792" s="155"/>
      <c r="I792" s="239"/>
      <c r="L792" s="240"/>
      <c r="M792" s="241"/>
      <c r="N792" s="178"/>
      <c r="O792" s="242"/>
      <c r="P792" s="243"/>
    </row>
    <row r="793" spans="2:16" ht="12.75">
      <c r="B793" s="238"/>
      <c r="H793" s="155"/>
      <c r="I793" s="239"/>
      <c r="L793" s="240"/>
      <c r="M793" s="241"/>
      <c r="N793" s="178"/>
      <c r="O793" s="242"/>
      <c r="P793" s="243"/>
    </row>
    <row r="794" spans="2:16" ht="12.75">
      <c r="B794" s="238"/>
      <c r="H794" s="155"/>
      <c r="I794" s="239"/>
      <c r="L794" s="240"/>
      <c r="M794" s="241"/>
      <c r="N794" s="178"/>
      <c r="O794" s="242"/>
      <c r="P794" s="243"/>
    </row>
    <row r="795" spans="2:16" ht="12.75">
      <c r="B795" s="238"/>
      <c r="H795" s="155"/>
      <c r="I795" s="239"/>
      <c r="L795" s="240"/>
      <c r="M795" s="241"/>
      <c r="N795" s="178"/>
      <c r="O795" s="242"/>
      <c r="P795" s="243"/>
    </row>
    <row r="796" spans="2:16" ht="12.75">
      <c r="B796" s="238"/>
      <c r="H796" s="155"/>
      <c r="I796" s="239"/>
      <c r="L796" s="240"/>
      <c r="M796" s="241"/>
      <c r="N796" s="178"/>
      <c r="O796" s="242"/>
      <c r="P796" s="243"/>
    </row>
    <row r="797" spans="2:16" ht="12.75">
      <c r="B797" s="238"/>
      <c r="H797" s="155"/>
      <c r="I797" s="239"/>
      <c r="L797" s="240"/>
      <c r="M797" s="241"/>
      <c r="N797" s="178"/>
      <c r="O797" s="242"/>
      <c r="P797" s="243"/>
    </row>
    <row r="798" spans="2:16" ht="12.75">
      <c r="B798" s="238"/>
      <c r="H798" s="155"/>
      <c r="I798" s="239"/>
      <c r="L798" s="240"/>
      <c r="M798" s="241"/>
      <c r="N798" s="178"/>
      <c r="O798" s="242"/>
      <c r="P798" s="243"/>
    </row>
    <row r="799" spans="2:16" ht="12.75">
      <c r="B799" s="238"/>
      <c r="H799" s="155"/>
      <c r="I799" s="239"/>
      <c r="L799" s="240"/>
      <c r="M799" s="241"/>
      <c r="N799" s="178"/>
      <c r="O799" s="242"/>
      <c r="P799" s="243"/>
    </row>
    <row r="800" spans="2:16" ht="12.75">
      <c r="B800" s="238"/>
      <c r="H800" s="155"/>
      <c r="I800" s="239"/>
      <c r="L800" s="240"/>
      <c r="M800" s="241"/>
      <c r="N800" s="178"/>
      <c r="O800" s="242"/>
      <c r="P800" s="243"/>
    </row>
    <row r="801" spans="2:16" ht="12.75">
      <c r="B801" s="238"/>
      <c r="H801" s="155"/>
      <c r="I801" s="239"/>
      <c r="L801" s="240"/>
      <c r="M801" s="241"/>
      <c r="N801" s="178"/>
      <c r="O801" s="242"/>
      <c r="P801" s="243"/>
    </row>
    <row r="802" spans="2:16" ht="12.75">
      <c r="B802" s="238"/>
      <c r="H802" s="155"/>
      <c r="I802" s="239"/>
      <c r="L802" s="240"/>
      <c r="M802" s="241"/>
      <c r="N802" s="178"/>
      <c r="O802" s="242"/>
      <c r="P802" s="243"/>
    </row>
    <row r="803" spans="2:16" ht="12.75">
      <c r="B803" s="238"/>
      <c r="H803" s="155"/>
      <c r="I803" s="239"/>
      <c r="L803" s="240"/>
      <c r="M803" s="241"/>
      <c r="N803" s="178"/>
      <c r="O803" s="242"/>
      <c r="P803" s="243"/>
    </row>
    <row r="804" spans="2:16" ht="12.75">
      <c r="B804" s="238"/>
      <c r="H804" s="155"/>
      <c r="I804" s="239"/>
      <c r="L804" s="240"/>
      <c r="M804" s="241"/>
      <c r="N804" s="178"/>
      <c r="O804" s="242"/>
      <c r="P804" s="243"/>
    </row>
    <row r="805" spans="2:16" ht="12.75">
      <c r="B805" s="238"/>
      <c r="H805" s="155"/>
      <c r="I805" s="239"/>
      <c r="L805" s="240"/>
      <c r="M805" s="241"/>
      <c r="N805" s="178"/>
      <c r="O805" s="242"/>
      <c r="P805" s="243"/>
    </row>
    <row r="806" spans="2:16" ht="12.75">
      <c r="B806" s="238"/>
      <c r="H806" s="155"/>
      <c r="I806" s="239"/>
      <c r="L806" s="240"/>
      <c r="M806" s="241"/>
      <c r="N806" s="178"/>
      <c r="O806" s="242"/>
      <c r="P806" s="243"/>
    </row>
    <row r="807" spans="2:16" ht="12.75">
      <c r="B807" s="238"/>
      <c r="H807" s="155"/>
      <c r="I807" s="239"/>
      <c r="L807" s="240"/>
      <c r="M807" s="241"/>
      <c r="N807" s="178"/>
      <c r="O807" s="242"/>
      <c r="P807" s="243"/>
    </row>
    <row r="808" spans="2:16" ht="12.75">
      <c r="B808" s="238"/>
      <c r="H808" s="155"/>
      <c r="I808" s="239"/>
      <c r="L808" s="240"/>
      <c r="M808" s="241"/>
      <c r="N808" s="178"/>
      <c r="O808" s="242"/>
      <c r="P808" s="243"/>
    </row>
    <row r="809" spans="2:16" ht="12.75">
      <c r="B809" s="238"/>
      <c r="H809" s="155"/>
      <c r="I809" s="239"/>
      <c r="L809" s="240"/>
      <c r="M809" s="241"/>
      <c r="N809" s="178"/>
      <c r="O809" s="242"/>
      <c r="P809" s="243"/>
    </row>
    <row r="810" spans="2:16" ht="12.75">
      <c r="B810" s="238"/>
      <c r="H810" s="155"/>
      <c r="I810" s="239"/>
      <c r="L810" s="240"/>
      <c r="M810" s="241"/>
      <c r="N810" s="178"/>
      <c r="O810" s="242"/>
      <c r="P810" s="243"/>
    </row>
    <row r="811" spans="2:16" ht="12.75">
      <c r="B811" s="238"/>
      <c r="H811" s="155"/>
      <c r="I811" s="239"/>
      <c r="L811" s="240"/>
      <c r="M811" s="241"/>
      <c r="N811" s="178"/>
      <c r="O811" s="242"/>
      <c r="P811" s="243"/>
    </row>
    <row r="812" spans="2:16" ht="12.75">
      <c r="B812" s="238"/>
      <c r="H812" s="155"/>
      <c r="I812" s="239"/>
      <c r="L812" s="240"/>
      <c r="M812" s="241"/>
      <c r="N812" s="178"/>
      <c r="O812" s="242"/>
      <c r="P812" s="243"/>
    </row>
    <row r="813" spans="2:16" ht="12.75">
      <c r="B813" s="238"/>
      <c r="H813" s="155"/>
      <c r="I813" s="239"/>
      <c r="L813" s="240"/>
      <c r="M813" s="241"/>
      <c r="N813" s="178"/>
      <c r="O813" s="242"/>
      <c r="P813" s="243"/>
    </row>
    <row r="814" spans="2:16" ht="12.75">
      <c r="B814" s="238"/>
      <c r="H814" s="155"/>
      <c r="I814" s="239"/>
      <c r="L814" s="240"/>
      <c r="M814" s="241"/>
      <c r="N814" s="178"/>
      <c r="O814" s="242"/>
      <c r="P814" s="243"/>
    </row>
    <row r="815" spans="2:16" ht="12.75">
      <c r="B815" s="238"/>
      <c r="H815" s="155"/>
      <c r="I815" s="239"/>
      <c r="L815" s="240"/>
      <c r="M815" s="241"/>
      <c r="N815" s="178"/>
      <c r="O815" s="242"/>
      <c r="P815" s="243"/>
    </row>
    <row r="816" spans="2:16" ht="12.75">
      <c r="B816" s="238"/>
      <c r="H816" s="155"/>
      <c r="I816" s="239"/>
      <c r="L816" s="240"/>
      <c r="M816" s="241"/>
      <c r="N816" s="178"/>
      <c r="O816" s="242"/>
      <c r="P816" s="243"/>
    </row>
    <row r="817" spans="2:16" ht="12.75">
      <c r="B817" s="238"/>
      <c r="H817" s="155"/>
      <c r="I817" s="239"/>
      <c r="L817" s="240"/>
      <c r="M817" s="241"/>
      <c r="N817" s="178"/>
      <c r="O817" s="242"/>
      <c r="P817" s="243"/>
    </row>
    <row r="818" spans="2:16" ht="12.75">
      <c r="B818" s="238"/>
      <c r="H818" s="155"/>
      <c r="I818" s="239"/>
      <c r="L818" s="240"/>
      <c r="M818" s="241"/>
      <c r="N818" s="178"/>
      <c r="O818" s="242"/>
      <c r="P818" s="243"/>
    </row>
    <row r="819" spans="2:16" ht="12.75">
      <c r="B819" s="238"/>
      <c r="H819" s="155"/>
      <c r="I819" s="239"/>
      <c r="L819" s="240"/>
      <c r="M819" s="241"/>
      <c r="N819" s="178"/>
      <c r="O819" s="242"/>
      <c r="P819" s="243"/>
    </row>
    <row r="820" spans="2:16" ht="12.75">
      <c r="B820" s="238"/>
      <c r="H820" s="155"/>
      <c r="I820" s="239"/>
      <c r="L820" s="240"/>
      <c r="M820" s="241"/>
      <c r="N820" s="178"/>
      <c r="O820" s="242"/>
      <c r="P820" s="243"/>
    </row>
    <row r="821" spans="2:16" ht="12.75">
      <c r="B821" s="238"/>
      <c r="H821" s="155"/>
      <c r="I821" s="239"/>
      <c r="L821" s="240"/>
      <c r="M821" s="241"/>
      <c r="N821" s="178"/>
      <c r="O821" s="242"/>
      <c r="P821" s="243"/>
    </row>
    <row r="822" spans="2:16" ht="12.75">
      <c r="B822" s="238"/>
      <c r="H822" s="155"/>
      <c r="I822" s="239"/>
      <c r="L822" s="240"/>
      <c r="M822" s="241"/>
      <c r="N822" s="178"/>
      <c r="O822" s="242"/>
      <c r="P822" s="243"/>
    </row>
    <row r="823" spans="2:16" ht="12.75">
      <c r="B823" s="238"/>
      <c r="H823" s="155"/>
      <c r="I823" s="239"/>
      <c r="L823" s="240"/>
      <c r="M823" s="241"/>
      <c r="N823" s="178"/>
      <c r="O823" s="242"/>
      <c r="P823" s="243"/>
    </row>
    <row r="824" spans="2:16" ht="12.75">
      <c r="B824" s="238"/>
      <c r="H824" s="155"/>
      <c r="I824" s="239"/>
      <c r="L824" s="240"/>
      <c r="M824" s="241"/>
      <c r="N824" s="178"/>
      <c r="O824" s="242"/>
      <c r="P824" s="243"/>
    </row>
    <row r="825" spans="2:16" ht="12.75">
      <c r="B825" s="238"/>
      <c r="H825" s="155"/>
      <c r="I825" s="239"/>
      <c r="L825" s="240"/>
      <c r="M825" s="241"/>
      <c r="N825" s="178"/>
      <c r="O825" s="242"/>
      <c r="P825" s="243"/>
    </row>
    <row r="826" spans="2:16" ht="12.75">
      <c r="B826" s="238"/>
      <c r="H826" s="155"/>
      <c r="I826" s="239"/>
      <c r="L826" s="240"/>
      <c r="M826" s="241"/>
      <c r="N826" s="178"/>
      <c r="O826" s="242"/>
      <c r="P826" s="243"/>
    </row>
    <row r="827" spans="2:16" ht="12.75">
      <c r="B827" s="238"/>
      <c r="H827" s="155"/>
      <c r="I827" s="239"/>
      <c r="L827" s="240"/>
      <c r="M827" s="241"/>
      <c r="N827" s="178"/>
      <c r="O827" s="242"/>
      <c r="P827" s="243"/>
    </row>
    <row r="828" spans="2:16" ht="12.75">
      <c r="B828" s="238"/>
      <c r="H828" s="155"/>
      <c r="I828" s="239"/>
      <c r="L828" s="240"/>
      <c r="M828" s="241"/>
      <c r="N828" s="178"/>
      <c r="O828" s="242"/>
      <c r="P828" s="243"/>
    </row>
    <row r="829" spans="2:16" ht="12.75">
      <c r="B829" s="238"/>
      <c r="H829" s="155"/>
      <c r="I829" s="239"/>
      <c r="L829" s="240"/>
      <c r="M829" s="241"/>
      <c r="N829" s="178"/>
      <c r="O829" s="242"/>
      <c r="P829" s="243"/>
    </row>
    <row r="830" spans="2:16" ht="12.75">
      <c r="B830" s="238"/>
      <c r="H830" s="155"/>
      <c r="I830" s="239"/>
      <c r="L830" s="240"/>
      <c r="M830" s="241"/>
      <c r="N830" s="178"/>
      <c r="O830" s="242"/>
      <c r="P830" s="243"/>
    </row>
    <row r="831" spans="2:16" ht="12.75">
      <c r="B831" s="238"/>
      <c r="H831" s="155"/>
      <c r="I831" s="239"/>
      <c r="L831" s="240"/>
      <c r="M831" s="241"/>
      <c r="N831" s="178"/>
      <c r="O831" s="242"/>
      <c r="P831" s="243"/>
    </row>
    <row r="832" spans="2:16" ht="12.75">
      <c r="B832" s="238"/>
      <c r="H832" s="155"/>
      <c r="I832" s="239"/>
      <c r="L832" s="240"/>
      <c r="M832" s="241"/>
      <c r="N832" s="178"/>
      <c r="O832" s="242"/>
      <c r="P832" s="243"/>
    </row>
    <row r="833" spans="2:16" ht="12.75">
      <c r="B833" s="238"/>
      <c r="H833" s="155"/>
      <c r="I833" s="239"/>
      <c r="L833" s="240"/>
      <c r="M833" s="241"/>
      <c r="N833" s="178"/>
      <c r="O833" s="242"/>
      <c r="P833" s="243"/>
    </row>
    <row r="834" spans="2:16" ht="12.75">
      <c r="B834" s="238"/>
      <c r="H834" s="155"/>
      <c r="I834" s="239"/>
      <c r="L834" s="240"/>
      <c r="M834" s="241"/>
      <c r="N834" s="178"/>
      <c r="O834" s="242"/>
      <c r="P834" s="243"/>
    </row>
    <row r="835" spans="2:16" ht="12.75">
      <c r="B835" s="238"/>
      <c r="H835" s="155"/>
      <c r="I835" s="239"/>
      <c r="L835" s="240"/>
      <c r="M835" s="241"/>
      <c r="N835" s="178"/>
      <c r="O835" s="242"/>
      <c r="P835" s="243"/>
    </row>
    <row r="836" spans="2:16" ht="12.75">
      <c r="B836" s="238"/>
      <c r="H836" s="155"/>
      <c r="I836" s="239"/>
      <c r="L836" s="240"/>
      <c r="M836" s="241"/>
      <c r="N836" s="178"/>
      <c r="O836" s="242"/>
      <c r="P836" s="243"/>
    </row>
    <row r="837" spans="2:16" ht="12.75">
      <c r="B837" s="238"/>
      <c r="H837" s="155"/>
      <c r="I837" s="239"/>
      <c r="L837" s="240"/>
      <c r="M837" s="241"/>
      <c r="N837" s="178"/>
      <c r="O837" s="242"/>
      <c r="P837" s="243"/>
    </row>
    <row r="838" spans="2:16" ht="12.75">
      <c r="B838" s="238"/>
      <c r="H838" s="155"/>
      <c r="I838" s="239"/>
      <c r="L838" s="240"/>
      <c r="M838" s="241"/>
      <c r="N838" s="178"/>
      <c r="O838" s="242"/>
      <c r="P838" s="243"/>
    </row>
    <row r="839" spans="2:16" ht="12.75">
      <c r="B839" s="238"/>
      <c r="H839" s="155"/>
      <c r="I839" s="239"/>
      <c r="L839" s="240"/>
      <c r="M839" s="241"/>
      <c r="N839" s="178"/>
      <c r="O839" s="242"/>
      <c r="P839" s="243"/>
    </row>
    <row r="840" spans="2:16" ht="12.75">
      <c r="B840" s="238"/>
      <c r="H840" s="155"/>
      <c r="I840" s="239"/>
      <c r="L840" s="240"/>
      <c r="M840" s="241"/>
      <c r="N840" s="178"/>
      <c r="O840" s="242"/>
      <c r="P840" s="243"/>
    </row>
    <row r="841" spans="2:16" ht="12.75">
      <c r="B841" s="238"/>
      <c r="H841" s="155"/>
      <c r="I841" s="239"/>
      <c r="L841" s="240"/>
      <c r="M841" s="241"/>
      <c r="N841" s="178"/>
      <c r="O841" s="242"/>
      <c r="P841" s="243"/>
    </row>
    <row r="842" spans="2:16" ht="12.75">
      <c r="B842" s="238"/>
      <c r="H842" s="155"/>
      <c r="I842" s="239"/>
      <c r="L842" s="240"/>
      <c r="M842" s="241"/>
      <c r="N842" s="178"/>
      <c r="O842" s="242"/>
      <c r="P842" s="243"/>
    </row>
    <row r="843" spans="2:16" ht="12.75">
      <c r="B843" s="238"/>
      <c r="H843" s="155"/>
      <c r="I843" s="239"/>
      <c r="L843" s="240"/>
      <c r="M843" s="241"/>
      <c r="N843" s="178"/>
      <c r="O843" s="242"/>
      <c r="P843" s="243"/>
    </row>
    <row r="844" spans="2:16" ht="12.75">
      <c r="B844" s="238"/>
      <c r="H844" s="155"/>
      <c r="I844" s="239"/>
      <c r="L844" s="240"/>
      <c r="M844" s="241"/>
      <c r="N844" s="178"/>
      <c r="O844" s="242"/>
      <c r="P844" s="243"/>
    </row>
    <row r="845" spans="2:16" ht="12.75">
      <c r="B845" s="238"/>
      <c r="H845" s="155"/>
      <c r="I845" s="239"/>
      <c r="L845" s="240"/>
      <c r="M845" s="241"/>
      <c r="N845" s="178"/>
      <c r="O845" s="242"/>
      <c r="P845" s="243"/>
    </row>
    <row r="846" spans="2:16" ht="12.75">
      <c r="B846" s="238"/>
      <c r="H846" s="155"/>
      <c r="I846" s="239"/>
      <c r="L846" s="240"/>
      <c r="M846" s="241"/>
      <c r="N846" s="178"/>
      <c r="O846" s="242"/>
      <c r="P846" s="243"/>
    </row>
    <row r="847" spans="2:16" ht="12.75">
      <c r="B847" s="238"/>
      <c r="H847" s="155"/>
      <c r="I847" s="239"/>
      <c r="L847" s="240"/>
      <c r="M847" s="241"/>
      <c r="N847" s="178"/>
      <c r="O847" s="242"/>
      <c r="P847" s="243"/>
    </row>
    <row r="848" spans="2:16" ht="12.75">
      <c r="B848" s="238"/>
      <c r="H848" s="155"/>
      <c r="I848" s="239"/>
      <c r="L848" s="240"/>
      <c r="M848" s="241"/>
      <c r="N848" s="178"/>
      <c r="O848" s="242"/>
      <c r="P848" s="243"/>
    </row>
    <row r="849" spans="2:16" ht="12.75">
      <c r="B849" s="238"/>
      <c r="H849" s="155"/>
      <c r="I849" s="239"/>
      <c r="L849" s="240"/>
      <c r="M849" s="241"/>
      <c r="N849" s="178"/>
      <c r="O849" s="242"/>
      <c r="P849" s="243"/>
    </row>
    <row r="850" spans="2:16" ht="12.75">
      <c r="B850" s="238"/>
      <c r="H850" s="155"/>
      <c r="I850" s="239"/>
      <c r="L850" s="240"/>
      <c r="M850" s="241"/>
      <c r="N850" s="178"/>
      <c r="O850" s="242"/>
      <c r="P850" s="243"/>
    </row>
    <row r="851" spans="2:16" ht="12.75">
      <c r="B851" s="238"/>
      <c r="H851" s="155"/>
      <c r="I851" s="239"/>
      <c r="L851" s="240"/>
      <c r="M851" s="241"/>
      <c r="N851" s="178"/>
      <c r="O851" s="242"/>
      <c r="P851" s="243"/>
    </row>
    <row r="852" spans="2:16" ht="12.75">
      <c r="B852" s="238"/>
      <c r="H852" s="155"/>
      <c r="I852" s="239"/>
      <c r="L852" s="240"/>
      <c r="M852" s="241"/>
      <c r="N852" s="178"/>
      <c r="O852" s="242"/>
      <c r="P852" s="243"/>
    </row>
    <row r="853" spans="2:16" ht="12.75">
      <c r="B853" s="238"/>
      <c r="H853" s="155"/>
      <c r="I853" s="239"/>
      <c r="L853" s="240"/>
      <c r="M853" s="241"/>
      <c r="N853" s="178"/>
      <c r="O853" s="242"/>
      <c r="P853" s="243"/>
    </row>
    <row r="854" spans="2:16" ht="12.75">
      <c r="B854" s="238"/>
      <c r="H854" s="155"/>
      <c r="I854" s="239"/>
      <c r="L854" s="240"/>
      <c r="M854" s="241"/>
      <c r="N854" s="178"/>
      <c r="O854" s="242"/>
      <c r="P854" s="243"/>
    </row>
    <row r="855" spans="2:16" ht="12.75">
      <c r="B855" s="238"/>
      <c r="H855" s="155"/>
      <c r="I855" s="239"/>
      <c r="L855" s="240"/>
      <c r="M855" s="241"/>
      <c r="N855" s="178"/>
      <c r="O855" s="242"/>
      <c r="P855" s="243"/>
    </row>
    <row r="856" spans="2:16" ht="12.75">
      <c r="B856" s="238"/>
      <c r="H856" s="155"/>
      <c r="I856" s="239"/>
      <c r="L856" s="240"/>
      <c r="M856" s="241"/>
      <c r="N856" s="178"/>
      <c r="O856" s="242"/>
      <c r="P856" s="243"/>
    </row>
    <row r="857" spans="2:16" ht="12.75">
      <c r="B857" s="238"/>
      <c r="H857" s="155"/>
      <c r="I857" s="239"/>
      <c r="L857" s="240"/>
      <c r="M857" s="241"/>
      <c r="N857" s="178"/>
      <c r="O857" s="242"/>
      <c r="P857" s="243"/>
    </row>
    <row r="858" spans="2:16" ht="12.75">
      <c r="B858" s="238"/>
      <c r="H858" s="155"/>
      <c r="I858" s="239"/>
      <c r="L858" s="240"/>
      <c r="M858" s="241"/>
      <c r="N858" s="178"/>
      <c r="O858" s="242"/>
      <c r="P858" s="243"/>
    </row>
    <row r="859" spans="2:16" ht="12.75">
      <c r="B859" s="238"/>
      <c r="H859" s="155"/>
      <c r="I859" s="239"/>
      <c r="L859" s="240"/>
      <c r="M859" s="241"/>
      <c r="N859" s="178"/>
      <c r="O859" s="242"/>
      <c r="P859" s="243"/>
    </row>
    <row r="860" spans="2:16" ht="12.75">
      <c r="B860" s="238"/>
      <c r="H860" s="155"/>
      <c r="I860" s="239"/>
      <c r="L860" s="240"/>
      <c r="M860" s="241"/>
      <c r="N860" s="178"/>
      <c r="O860" s="242"/>
      <c r="P860" s="243"/>
    </row>
    <row r="861" spans="2:16" ht="12.75">
      <c r="B861" s="238"/>
      <c r="H861" s="155"/>
      <c r="I861" s="239"/>
      <c r="L861" s="240"/>
      <c r="M861" s="241"/>
      <c r="N861" s="178"/>
      <c r="O861" s="242"/>
      <c r="P861" s="243"/>
    </row>
    <row r="862" spans="2:16" ht="12.75">
      <c r="B862" s="238"/>
      <c r="H862" s="155"/>
      <c r="I862" s="239"/>
      <c r="L862" s="240"/>
      <c r="M862" s="241"/>
      <c r="N862" s="178"/>
      <c r="O862" s="242"/>
      <c r="P862" s="243"/>
    </row>
    <row r="863" spans="2:16" ht="12.75">
      <c r="B863" s="238"/>
      <c r="H863" s="155"/>
      <c r="I863" s="239"/>
      <c r="L863" s="240"/>
      <c r="M863" s="241"/>
      <c r="N863" s="178"/>
      <c r="O863" s="242"/>
      <c r="P863" s="243"/>
    </row>
    <row r="864" spans="2:16" ht="12.75">
      <c r="B864" s="238"/>
      <c r="H864" s="155"/>
      <c r="I864" s="239"/>
      <c r="L864" s="240"/>
      <c r="M864" s="241"/>
      <c r="N864" s="178"/>
      <c r="O864" s="242"/>
      <c r="P864" s="243"/>
    </row>
    <row r="865" spans="2:16" ht="12.75">
      <c r="B865" s="238"/>
      <c r="H865" s="155"/>
      <c r="I865" s="239"/>
      <c r="L865" s="240"/>
      <c r="M865" s="241"/>
      <c r="N865" s="178"/>
      <c r="O865" s="242"/>
      <c r="P865" s="243"/>
    </row>
    <row r="866" spans="2:16" ht="12.75">
      <c r="B866" s="238"/>
      <c r="H866" s="155"/>
      <c r="I866" s="239"/>
      <c r="L866" s="240"/>
      <c r="M866" s="241"/>
      <c r="N866" s="178"/>
      <c r="O866" s="242"/>
      <c r="P866" s="243"/>
    </row>
    <row r="867" spans="2:16" ht="12.75">
      <c r="B867" s="238"/>
      <c r="H867" s="155"/>
      <c r="I867" s="239"/>
      <c r="L867" s="240"/>
      <c r="M867" s="241"/>
      <c r="N867" s="178"/>
      <c r="O867" s="242"/>
      <c r="P867" s="243"/>
    </row>
    <row r="868" spans="2:16" ht="12.75">
      <c r="B868" s="238"/>
      <c r="H868" s="155"/>
      <c r="I868" s="239"/>
      <c r="L868" s="240"/>
      <c r="M868" s="241"/>
      <c r="N868" s="178"/>
      <c r="O868" s="242"/>
      <c r="P868" s="243"/>
    </row>
    <row r="869" spans="2:16" ht="12.75">
      <c r="B869" s="238"/>
      <c r="H869" s="155"/>
      <c r="I869" s="239"/>
      <c r="L869" s="240"/>
      <c r="M869" s="241"/>
      <c r="N869" s="178"/>
      <c r="O869" s="242"/>
      <c r="P869" s="243"/>
    </row>
    <row r="870" spans="2:16" ht="12.75">
      <c r="B870" s="238"/>
      <c r="H870" s="155"/>
      <c r="I870" s="239"/>
      <c r="L870" s="240"/>
      <c r="M870" s="241"/>
      <c r="N870" s="178"/>
      <c r="O870" s="242"/>
      <c r="P870" s="243"/>
    </row>
    <row r="871" spans="2:16" ht="12.75">
      <c r="B871" s="238"/>
      <c r="H871" s="155"/>
      <c r="I871" s="239"/>
      <c r="L871" s="240"/>
      <c r="M871" s="241"/>
      <c r="N871" s="178"/>
      <c r="O871" s="242"/>
      <c r="P871" s="243"/>
    </row>
    <row r="872" spans="2:16" ht="12.75">
      <c r="B872" s="238"/>
      <c r="H872" s="155"/>
      <c r="I872" s="239"/>
      <c r="L872" s="240"/>
      <c r="M872" s="241"/>
      <c r="N872" s="178"/>
      <c r="O872" s="242"/>
      <c r="P872" s="243"/>
    </row>
    <row r="873" spans="2:16" ht="12.75">
      <c r="B873" s="238"/>
      <c r="H873" s="155"/>
      <c r="I873" s="239"/>
      <c r="L873" s="240"/>
      <c r="M873" s="241"/>
      <c r="N873" s="178"/>
      <c r="O873" s="242"/>
      <c r="P873" s="243"/>
    </row>
    <row r="874" spans="2:16" ht="12.75">
      <c r="B874" s="238"/>
      <c r="H874" s="155"/>
      <c r="I874" s="239"/>
      <c r="L874" s="240"/>
      <c r="M874" s="241"/>
      <c r="N874" s="178"/>
      <c r="O874" s="242"/>
      <c r="P874" s="243"/>
    </row>
    <row r="875" spans="2:16" ht="12.75">
      <c r="B875" s="238"/>
      <c r="H875" s="155"/>
      <c r="I875" s="239"/>
      <c r="L875" s="240"/>
      <c r="M875" s="241"/>
      <c r="N875" s="178"/>
      <c r="O875" s="242"/>
      <c r="P875" s="243"/>
    </row>
    <row r="876" spans="2:16" ht="12.75">
      <c r="B876" s="238"/>
      <c r="H876" s="155"/>
      <c r="I876" s="239"/>
      <c r="L876" s="240"/>
      <c r="M876" s="241"/>
      <c r="N876" s="178"/>
      <c r="O876" s="242"/>
      <c r="P876" s="243"/>
    </row>
    <row r="877" spans="2:16" ht="12.75">
      <c r="B877" s="238"/>
      <c r="H877" s="155"/>
      <c r="I877" s="239"/>
      <c r="L877" s="240"/>
      <c r="M877" s="241"/>
      <c r="N877" s="178"/>
      <c r="O877" s="242"/>
      <c r="P877" s="243"/>
    </row>
    <row r="878" spans="2:16" ht="12.75">
      <c r="B878" s="238"/>
      <c r="H878" s="155"/>
      <c r="I878" s="239"/>
      <c r="L878" s="240"/>
      <c r="M878" s="241"/>
      <c r="N878" s="178"/>
      <c r="O878" s="242"/>
      <c r="P878" s="243"/>
    </row>
    <row r="879" spans="2:16" ht="12.75">
      <c r="B879" s="238"/>
      <c r="H879" s="155"/>
      <c r="I879" s="239"/>
      <c r="L879" s="240"/>
      <c r="M879" s="241"/>
      <c r="N879" s="178"/>
      <c r="O879" s="242"/>
      <c r="P879" s="243"/>
    </row>
    <row r="880" spans="2:16" ht="12.75">
      <c r="B880" s="238"/>
      <c r="H880" s="155"/>
      <c r="I880" s="239"/>
      <c r="L880" s="240"/>
      <c r="M880" s="241"/>
      <c r="N880" s="178"/>
      <c r="O880" s="242"/>
      <c r="P880" s="243"/>
    </row>
    <row r="881" spans="2:16" ht="12.75">
      <c r="B881" s="238"/>
      <c r="H881" s="155"/>
      <c r="I881" s="239"/>
      <c r="L881" s="240"/>
      <c r="M881" s="241"/>
      <c r="N881" s="178"/>
      <c r="O881" s="242"/>
      <c r="P881" s="243"/>
    </row>
    <row r="882" spans="2:16" ht="12.75">
      <c r="B882" s="238"/>
      <c r="H882" s="155"/>
      <c r="I882" s="239"/>
      <c r="L882" s="240"/>
      <c r="M882" s="241"/>
      <c r="N882" s="178"/>
      <c r="O882" s="242"/>
      <c r="P882" s="243"/>
    </row>
    <row r="883" spans="2:16" ht="12.75">
      <c r="B883" s="238"/>
      <c r="H883" s="155"/>
      <c r="I883" s="239"/>
      <c r="L883" s="240"/>
      <c r="M883" s="241"/>
      <c r="N883" s="178"/>
      <c r="O883" s="242"/>
      <c r="P883" s="243"/>
    </row>
    <row r="884" spans="2:16" ht="12.75">
      <c r="B884" s="238"/>
      <c r="H884" s="155"/>
      <c r="I884" s="239"/>
      <c r="L884" s="240"/>
      <c r="M884" s="241"/>
      <c r="N884" s="178"/>
      <c r="O884" s="242"/>
      <c r="P884" s="243"/>
    </row>
    <row r="885" spans="2:16" ht="12.75">
      <c r="B885" s="238"/>
      <c r="H885" s="155"/>
      <c r="I885" s="239"/>
      <c r="L885" s="240"/>
      <c r="M885" s="241"/>
      <c r="N885" s="178"/>
      <c r="O885" s="242"/>
      <c r="P885" s="243"/>
    </row>
    <row r="886" spans="2:16" ht="12.75">
      <c r="B886" s="238"/>
      <c r="H886" s="155"/>
      <c r="I886" s="239"/>
      <c r="L886" s="240"/>
      <c r="M886" s="241"/>
      <c r="N886" s="178"/>
      <c r="O886" s="242"/>
      <c r="P886" s="243"/>
    </row>
    <row r="887" spans="2:16" ht="12.75">
      <c r="B887" s="238"/>
      <c r="H887" s="155"/>
      <c r="I887" s="239"/>
      <c r="L887" s="240"/>
      <c r="M887" s="241"/>
      <c r="N887" s="178"/>
      <c r="O887" s="242"/>
      <c r="P887" s="243"/>
    </row>
    <row r="888" spans="2:16" ht="12.75">
      <c r="B888" s="238"/>
      <c r="H888" s="155"/>
      <c r="I888" s="239"/>
      <c r="L888" s="240"/>
      <c r="M888" s="241"/>
      <c r="N888" s="178"/>
      <c r="O888" s="242"/>
      <c r="P888" s="243"/>
    </row>
    <row r="889" spans="2:16" ht="12.75">
      <c r="B889" s="238"/>
      <c r="H889" s="155"/>
      <c r="I889" s="239"/>
      <c r="L889" s="240"/>
      <c r="M889" s="241"/>
      <c r="N889" s="178"/>
      <c r="O889" s="242"/>
      <c r="P889" s="243"/>
    </row>
    <row r="890" spans="2:16" ht="12.75">
      <c r="B890" s="238"/>
      <c r="H890" s="155"/>
      <c r="I890" s="239"/>
      <c r="L890" s="240"/>
      <c r="M890" s="241"/>
      <c r="N890" s="178"/>
      <c r="O890" s="242"/>
      <c r="P890" s="243"/>
    </row>
    <row r="891" spans="2:16" ht="12.75">
      <c r="B891" s="238"/>
      <c r="H891" s="155"/>
      <c r="I891" s="239"/>
      <c r="L891" s="240"/>
      <c r="M891" s="241"/>
      <c r="N891" s="178"/>
      <c r="O891" s="242"/>
      <c r="P891" s="243"/>
    </row>
    <row r="892" spans="2:16" ht="12.75">
      <c r="B892" s="238"/>
      <c r="H892" s="155"/>
      <c r="I892" s="239"/>
      <c r="L892" s="240"/>
      <c r="M892" s="241"/>
      <c r="N892" s="178"/>
      <c r="O892" s="242"/>
      <c r="P892" s="243"/>
    </row>
    <row r="893" spans="2:16" ht="12.75">
      <c r="B893" s="238"/>
      <c r="H893" s="155"/>
      <c r="I893" s="239"/>
      <c r="L893" s="240"/>
      <c r="M893" s="241"/>
      <c r="N893" s="178"/>
      <c r="O893" s="242"/>
      <c r="P893" s="243"/>
    </row>
    <row r="894" spans="2:16" ht="12.75">
      <c r="B894" s="238"/>
      <c r="H894" s="155"/>
      <c r="I894" s="239"/>
      <c r="L894" s="240"/>
      <c r="M894" s="241"/>
      <c r="N894" s="178"/>
      <c r="O894" s="242"/>
      <c r="P894" s="243"/>
    </row>
    <row r="895" spans="2:16" ht="12.75">
      <c r="B895" s="238"/>
      <c r="H895" s="155"/>
      <c r="I895" s="239"/>
      <c r="L895" s="240"/>
      <c r="M895" s="241"/>
      <c r="N895" s="178"/>
      <c r="O895" s="242"/>
      <c r="P895" s="243"/>
    </row>
    <row r="896" spans="2:16" ht="12.75">
      <c r="B896" s="238"/>
      <c r="H896" s="155"/>
      <c r="I896" s="239"/>
      <c r="L896" s="240"/>
      <c r="M896" s="241"/>
      <c r="N896" s="178"/>
      <c r="O896" s="242"/>
      <c r="P896" s="243"/>
    </row>
    <row r="897" spans="2:16" ht="12.75">
      <c r="B897" s="238"/>
      <c r="H897" s="155"/>
      <c r="I897" s="239"/>
      <c r="L897" s="240"/>
      <c r="M897" s="241"/>
      <c r="N897" s="178"/>
      <c r="O897" s="242"/>
      <c r="P897" s="243"/>
    </row>
    <row r="898" spans="2:16" ht="12.75">
      <c r="B898" s="238"/>
      <c r="H898" s="155"/>
      <c r="I898" s="239"/>
      <c r="L898" s="240"/>
      <c r="M898" s="241"/>
      <c r="N898" s="178"/>
      <c r="O898" s="242"/>
      <c r="P898" s="243"/>
    </row>
    <row r="899" spans="2:16" ht="12.75">
      <c r="B899" s="238"/>
      <c r="H899" s="155"/>
      <c r="I899" s="239"/>
      <c r="L899" s="240"/>
      <c r="M899" s="241"/>
      <c r="N899" s="178"/>
      <c r="O899" s="242"/>
      <c r="P899" s="243"/>
    </row>
    <row r="900" spans="2:16" ht="12.75">
      <c r="B900" s="238"/>
      <c r="H900" s="155"/>
      <c r="I900" s="239"/>
      <c r="L900" s="240"/>
      <c r="M900" s="241"/>
      <c r="N900" s="178"/>
      <c r="O900" s="242"/>
      <c r="P900" s="243"/>
    </row>
    <row r="901" spans="2:16" ht="12.75">
      <c r="B901" s="238"/>
      <c r="H901" s="155"/>
      <c r="I901" s="239"/>
      <c r="L901" s="240"/>
      <c r="M901" s="241"/>
      <c r="N901" s="178"/>
      <c r="O901" s="242"/>
      <c r="P901" s="243"/>
    </row>
    <row r="902" spans="2:16" ht="12.75">
      <c r="B902" s="238"/>
      <c r="H902" s="155"/>
      <c r="I902" s="239"/>
      <c r="L902" s="240"/>
      <c r="M902" s="241"/>
      <c r="N902" s="178"/>
      <c r="O902" s="242"/>
      <c r="P902" s="243"/>
    </row>
    <row r="903" spans="2:16" ht="12.75">
      <c r="B903" s="238"/>
      <c r="H903" s="155"/>
      <c r="I903" s="239"/>
      <c r="L903" s="240"/>
      <c r="M903" s="241"/>
      <c r="N903" s="178"/>
      <c r="O903" s="242"/>
      <c r="P903" s="243"/>
    </row>
    <row r="904" spans="2:16" ht="12.75">
      <c r="B904" s="238"/>
      <c r="H904" s="155"/>
      <c r="I904" s="239"/>
      <c r="L904" s="240"/>
      <c r="M904" s="241"/>
      <c r="N904" s="178"/>
      <c r="O904" s="242"/>
      <c r="P904" s="243"/>
    </row>
    <row r="905" spans="2:16" ht="12.75">
      <c r="B905" s="238"/>
      <c r="H905" s="155"/>
      <c r="I905" s="239"/>
      <c r="L905" s="240"/>
      <c r="M905" s="241"/>
      <c r="N905" s="178"/>
      <c r="O905" s="242"/>
      <c r="P905" s="243"/>
    </row>
    <row r="906" spans="2:16" ht="12.75">
      <c r="B906" s="238"/>
      <c r="H906" s="155"/>
      <c r="I906" s="239"/>
      <c r="L906" s="240"/>
      <c r="M906" s="241"/>
      <c r="N906" s="178"/>
      <c r="O906" s="242"/>
      <c r="P906" s="243"/>
    </row>
    <row r="907" spans="2:16" ht="12.75">
      <c r="B907" s="238"/>
      <c r="H907" s="155"/>
      <c r="I907" s="239"/>
      <c r="L907" s="240"/>
      <c r="M907" s="241"/>
      <c r="N907" s="178"/>
      <c r="O907" s="242"/>
      <c r="P907" s="243"/>
    </row>
    <row r="908" spans="2:16" ht="12.75">
      <c r="B908" s="238"/>
      <c r="H908" s="155"/>
      <c r="I908" s="239"/>
      <c r="L908" s="240"/>
      <c r="M908" s="241"/>
      <c r="N908" s="178"/>
      <c r="O908" s="242"/>
      <c r="P908" s="243"/>
    </row>
    <row r="909" spans="2:16" ht="12.75">
      <c r="B909" s="238"/>
      <c r="H909" s="155"/>
      <c r="I909" s="239"/>
      <c r="L909" s="240"/>
      <c r="M909" s="241"/>
      <c r="N909" s="178"/>
      <c r="O909" s="242"/>
      <c r="P909" s="243"/>
    </row>
    <row r="910" spans="2:16" ht="12.75">
      <c r="B910" s="238"/>
      <c r="H910" s="155"/>
      <c r="I910" s="239"/>
      <c r="L910" s="240"/>
      <c r="M910" s="241"/>
      <c r="N910" s="178"/>
      <c r="O910" s="242"/>
      <c r="P910" s="243"/>
    </row>
    <row r="911" spans="2:16" ht="12.75">
      <c r="B911" s="238"/>
      <c r="H911" s="155"/>
      <c r="I911" s="239"/>
      <c r="L911" s="240"/>
      <c r="M911" s="241"/>
      <c r="N911" s="178"/>
      <c r="O911" s="242"/>
      <c r="P911" s="243"/>
    </row>
    <row r="912" spans="2:16" ht="12.75">
      <c r="B912" s="238"/>
      <c r="H912" s="155"/>
      <c r="I912" s="239"/>
      <c r="L912" s="240"/>
      <c r="M912" s="241"/>
      <c r="N912" s="178"/>
      <c r="O912" s="242"/>
      <c r="P912" s="243"/>
    </row>
    <row r="913" spans="2:16" ht="12.75">
      <c r="B913" s="238"/>
      <c r="H913" s="155"/>
      <c r="I913" s="239"/>
      <c r="L913" s="240"/>
      <c r="M913" s="241"/>
      <c r="N913" s="178"/>
      <c r="O913" s="242"/>
      <c r="P913" s="243"/>
    </row>
    <row r="914" spans="2:16" ht="12.75">
      <c r="B914" s="238"/>
      <c r="H914" s="155"/>
      <c r="I914" s="239"/>
      <c r="L914" s="240"/>
      <c r="M914" s="241"/>
      <c r="N914" s="178"/>
      <c r="O914" s="242"/>
      <c r="P914" s="243"/>
    </row>
    <row r="915" spans="2:16" ht="12.75">
      <c r="B915" s="238"/>
      <c r="H915" s="155"/>
      <c r="I915" s="239"/>
      <c r="L915" s="240"/>
      <c r="M915" s="241"/>
      <c r="N915" s="178"/>
      <c r="O915" s="242"/>
      <c r="P915" s="243"/>
    </row>
    <row r="916" spans="2:16" ht="12.75">
      <c r="B916" s="238"/>
      <c r="H916" s="155"/>
      <c r="I916" s="239"/>
      <c r="L916" s="240"/>
      <c r="M916" s="241"/>
      <c r="N916" s="178"/>
      <c r="O916" s="242"/>
      <c r="P916" s="243"/>
    </row>
    <row r="917" spans="2:16" ht="12.75">
      <c r="B917" s="238"/>
      <c r="H917" s="155"/>
      <c r="I917" s="239"/>
      <c r="L917" s="240"/>
      <c r="M917" s="241"/>
      <c r="N917" s="178"/>
      <c r="O917" s="242"/>
      <c r="P917" s="243"/>
    </row>
    <row r="918" spans="2:16" ht="12.75">
      <c r="B918" s="238"/>
      <c r="H918" s="155"/>
      <c r="I918" s="239"/>
      <c r="L918" s="240"/>
      <c r="M918" s="241"/>
      <c r="N918" s="178"/>
      <c r="O918" s="242"/>
      <c r="P918" s="243"/>
    </row>
    <row r="919" spans="2:16" ht="12.75">
      <c r="B919" s="238"/>
      <c r="H919" s="155"/>
      <c r="I919" s="239"/>
      <c r="L919" s="240"/>
      <c r="M919" s="241"/>
      <c r="N919" s="178"/>
      <c r="O919" s="242"/>
      <c r="P919" s="243"/>
    </row>
    <row r="920" spans="2:16" ht="12.75">
      <c r="B920" s="238"/>
      <c r="H920" s="155"/>
      <c r="I920" s="239"/>
      <c r="L920" s="240"/>
      <c r="M920" s="241"/>
      <c r="N920" s="178"/>
      <c r="O920" s="242"/>
      <c r="P920" s="243"/>
    </row>
    <row r="921" spans="2:16" ht="12.75">
      <c r="B921" s="238"/>
      <c r="H921" s="155"/>
      <c r="I921" s="239"/>
      <c r="L921" s="240"/>
      <c r="M921" s="241"/>
      <c r="N921" s="178"/>
      <c r="O921" s="242"/>
      <c r="P921" s="243"/>
    </row>
    <row r="922" spans="2:16" ht="12.75">
      <c r="B922" s="238"/>
      <c r="H922" s="155"/>
      <c r="I922" s="239"/>
      <c r="L922" s="240"/>
      <c r="M922" s="241"/>
      <c r="N922" s="178"/>
      <c r="O922" s="242"/>
      <c r="P922" s="243"/>
    </row>
    <row r="923" spans="2:16" ht="12.75">
      <c r="B923" s="238"/>
      <c r="H923" s="155"/>
      <c r="I923" s="239"/>
      <c r="L923" s="240"/>
      <c r="M923" s="241"/>
      <c r="N923" s="178"/>
      <c r="O923" s="242"/>
      <c r="P923" s="243"/>
    </row>
    <row r="924" spans="2:16" ht="12.75">
      <c r="B924" s="238"/>
      <c r="H924" s="155"/>
      <c r="I924" s="239"/>
      <c r="L924" s="240"/>
      <c r="M924" s="241"/>
      <c r="N924" s="178"/>
      <c r="O924" s="242"/>
      <c r="P924" s="243"/>
    </row>
    <row r="925" spans="2:16" ht="12.75">
      <c r="B925" s="238"/>
      <c r="H925" s="155"/>
      <c r="I925" s="239"/>
      <c r="L925" s="240"/>
      <c r="M925" s="241"/>
      <c r="N925" s="178"/>
      <c r="O925" s="242"/>
      <c r="P925" s="243"/>
    </row>
    <row r="926" spans="2:16" ht="12.75">
      <c r="B926" s="238"/>
      <c r="H926" s="155"/>
      <c r="I926" s="239"/>
      <c r="L926" s="240"/>
      <c r="M926" s="241"/>
      <c r="N926" s="178"/>
      <c r="O926" s="242"/>
      <c r="P926" s="243"/>
    </row>
    <row r="927" spans="2:16" ht="12.75">
      <c r="B927" s="238"/>
      <c r="H927" s="155"/>
      <c r="I927" s="239"/>
      <c r="L927" s="240"/>
      <c r="M927" s="241"/>
      <c r="N927" s="178"/>
      <c r="O927" s="242"/>
      <c r="P927" s="243"/>
    </row>
    <row r="928" spans="2:16" ht="12.75">
      <c r="B928" s="238"/>
      <c r="H928" s="155"/>
      <c r="I928" s="239"/>
      <c r="L928" s="240"/>
      <c r="M928" s="241"/>
      <c r="N928" s="178"/>
      <c r="O928" s="242"/>
      <c r="P928" s="243"/>
    </row>
    <row r="929" spans="2:16" ht="12.75">
      <c r="B929" s="238"/>
      <c r="H929" s="155"/>
      <c r="I929" s="239"/>
      <c r="L929" s="240"/>
      <c r="M929" s="241"/>
      <c r="N929" s="178"/>
      <c r="O929" s="242"/>
      <c r="P929" s="243"/>
    </row>
    <row r="930" spans="2:16" ht="12.75">
      <c r="B930" s="238"/>
      <c r="H930" s="155"/>
      <c r="I930" s="239"/>
      <c r="L930" s="240"/>
      <c r="M930" s="241"/>
      <c r="N930" s="178"/>
      <c r="O930" s="242"/>
      <c r="P930" s="243"/>
    </row>
    <row r="931" spans="2:16" ht="12.75">
      <c r="B931" s="238"/>
      <c r="H931" s="155"/>
      <c r="I931" s="239"/>
      <c r="L931" s="240"/>
      <c r="M931" s="241"/>
      <c r="N931" s="178"/>
      <c r="O931" s="242"/>
      <c r="P931" s="243"/>
    </row>
    <row r="932" spans="2:16" ht="12.75">
      <c r="B932" s="238"/>
      <c r="H932" s="155"/>
      <c r="I932" s="239"/>
      <c r="L932" s="240"/>
      <c r="M932" s="241"/>
      <c r="N932" s="178"/>
      <c r="O932" s="242"/>
      <c r="P932" s="243"/>
    </row>
    <row r="933" spans="2:16" ht="12.75">
      <c r="B933" s="238"/>
      <c r="H933" s="155"/>
      <c r="I933" s="239"/>
      <c r="L933" s="240"/>
      <c r="M933" s="241"/>
      <c r="N933" s="178"/>
      <c r="O933" s="242"/>
      <c r="P933" s="243"/>
    </row>
    <row r="934" spans="2:16" ht="12.75">
      <c r="B934" s="238"/>
      <c r="H934" s="155"/>
      <c r="I934" s="239"/>
      <c r="L934" s="240"/>
      <c r="M934" s="241"/>
      <c r="N934" s="178"/>
      <c r="O934" s="242"/>
      <c r="P934" s="243"/>
    </row>
    <row r="935" spans="2:16" ht="12.75">
      <c r="B935" s="238"/>
      <c r="H935" s="155"/>
      <c r="I935" s="239"/>
      <c r="L935" s="240"/>
      <c r="M935" s="241"/>
      <c r="N935" s="178"/>
      <c r="O935" s="242"/>
      <c r="P935" s="243"/>
    </row>
    <row r="936" spans="2:16" ht="12.75">
      <c r="B936" s="238"/>
      <c r="H936" s="155"/>
      <c r="I936" s="239"/>
      <c r="L936" s="240"/>
      <c r="M936" s="241"/>
      <c r="N936" s="178"/>
      <c r="O936" s="242"/>
      <c r="P936" s="243"/>
    </row>
    <row r="937" spans="2:16" ht="12.75">
      <c r="B937" s="238"/>
      <c r="H937" s="155"/>
      <c r="I937" s="239"/>
      <c r="L937" s="240"/>
      <c r="M937" s="241"/>
      <c r="N937" s="178"/>
      <c r="O937" s="242"/>
      <c r="P937" s="243"/>
    </row>
    <row r="938" spans="2:16" ht="12.75">
      <c r="B938" s="238"/>
      <c r="H938" s="155"/>
      <c r="I938" s="239"/>
      <c r="L938" s="240"/>
      <c r="M938" s="241"/>
      <c r="N938" s="178"/>
      <c r="O938" s="242"/>
      <c r="P938" s="243"/>
    </row>
    <row r="939" spans="2:16" ht="12.75">
      <c r="B939" s="238"/>
      <c r="H939" s="155"/>
      <c r="I939" s="239"/>
      <c r="L939" s="240"/>
      <c r="M939" s="241"/>
      <c r="N939" s="178"/>
      <c r="O939" s="242"/>
      <c r="P939" s="243"/>
    </row>
    <row r="940" spans="2:16" ht="12.75">
      <c r="B940" s="238"/>
      <c r="H940" s="155"/>
      <c r="I940" s="239"/>
      <c r="L940" s="240"/>
      <c r="M940" s="241"/>
      <c r="N940" s="178"/>
      <c r="O940" s="242"/>
      <c r="P940" s="243"/>
    </row>
    <row r="941" spans="2:16" ht="12.75">
      <c r="B941" s="238"/>
      <c r="H941" s="155"/>
      <c r="I941" s="239"/>
      <c r="L941" s="240"/>
      <c r="M941" s="241"/>
      <c r="N941" s="178"/>
      <c r="O941" s="242"/>
      <c r="P941" s="243"/>
    </row>
    <row r="942" spans="2:16" ht="12.75">
      <c r="B942" s="238"/>
      <c r="H942" s="155"/>
      <c r="I942" s="239"/>
      <c r="L942" s="240"/>
      <c r="M942" s="241"/>
      <c r="N942" s="178"/>
      <c r="O942" s="242"/>
      <c r="P942" s="243"/>
    </row>
    <row r="943" spans="2:16" ht="12.75">
      <c r="B943" s="238"/>
      <c r="H943" s="155"/>
      <c r="I943" s="239"/>
      <c r="L943" s="240"/>
      <c r="M943" s="241"/>
      <c r="N943" s="178"/>
      <c r="O943" s="242"/>
      <c r="P943" s="243"/>
    </row>
    <row r="944" spans="2:16" ht="12.75">
      <c r="B944" s="238"/>
      <c r="H944" s="155"/>
      <c r="I944" s="239"/>
      <c r="L944" s="240"/>
      <c r="M944" s="241"/>
      <c r="N944" s="178"/>
      <c r="O944" s="242"/>
      <c r="P944" s="243"/>
    </row>
    <row r="945" spans="2:16" ht="12.75">
      <c r="B945" s="238"/>
      <c r="H945" s="155"/>
      <c r="I945" s="239"/>
      <c r="L945" s="240"/>
      <c r="M945" s="241"/>
      <c r="N945" s="178"/>
      <c r="O945" s="242"/>
      <c r="P945" s="243"/>
    </row>
    <row r="946" spans="2:16" ht="12.75">
      <c r="B946" s="238"/>
      <c r="H946" s="155"/>
      <c r="I946" s="239"/>
      <c r="L946" s="240"/>
      <c r="M946" s="241"/>
      <c r="N946" s="178"/>
      <c r="O946" s="242"/>
      <c r="P946" s="243"/>
    </row>
    <row r="947" spans="2:16" ht="12.75">
      <c r="B947" s="238"/>
      <c r="H947" s="155"/>
      <c r="I947" s="239"/>
      <c r="L947" s="240"/>
      <c r="M947" s="241"/>
      <c r="N947" s="178"/>
      <c r="O947" s="242"/>
      <c r="P947" s="243"/>
    </row>
    <row r="948" spans="2:16" ht="12.75">
      <c r="B948" s="238"/>
      <c r="H948" s="155"/>
      <c r="I948" s="239"/>
      <c r="L948" s="240"/>
      <c r="M948" s="241"/>
      <c r="N948" s="178"/>
      <c r="O948" s="242"/>
      <c r="P948" s="243"/>
    </row>
    <row r="949" spans="2:16" ht="12.75">
      <c r="B949" s="238"/>
      <c r="H949" s="155"/>
      <c r="I949" s="239"/>
      <c r="L949" s="240"/>
      <c r="M949" s="241"/>
      <c r="N949" s="178"/>
      <c r="O949" s="242"/>
      <c r="P949" s="243"/>
    </row>
    <row r="950" spans="2:16" ht="12.75">
      <c r="B950" s="238"/>
      <c r="H950" s="155"/>
      <c r="I950" s="239"/>
      <c r="L950" s="240"/>
      <c r="M950" s="241"/>
      <c r="N950" s="178"/>
      <c r="O950" s="242"/>
      <c r="P950" s="243"/>
    </row>
    <row r="951" spans="2:16" ht="12.75">
      <c r="B951" s="238"/>
      <c r="H951" s="155"/>
      <c r="I951" s="239"/>
      <c r="L951" s="240"/>
      <c r="M951" s="241"/>
      <c r="N951" s="178"/>
      <c r="O951" s="242"/>
      <c r="P951" s="243"/>
    </row>
    <row r="952" spans="2:16" ht="12.75">
      <c r="B952" s="238"/>
      <c r="H952" s="155"/>
      <c r="I952" s="239"/>
      <c r="L952" s="240"/>
      <c r="M952" s="241"/>
      <c r="N952" s="178"/>
      <c r="O952" s="242"/>
      <c r="P952" s="243"/>
    </row>
    <row r="953" spans="2:16" ht="12.75">
      <c r="B953" s="238"/>
      <c r="H953" s="155"/>
      <c r="I953" s="239"/>
      <c r="L953" s="240"/>
      <c r="M953" s="241"/>
      <c r="N953" s="178"/>
      <c r="O953" s="242"/>
      <c r="P953" s="243"/>
    </row>
    <row r="954" spans="2:16" ht="12.75">
      <c r="B954" s="238"/>
      <c r="H954" s="155"/>
      <c r="I954" s="239"/>
      <c r="L954" s="240"/>
      <c r="M954" s="241"/>
      <c r="N954" s="178"/>
      <c r="O954" s="242"/>
      <c r="P954" s="243"/>
    </row>
    <row r="955" spans="2:16" ht="12.75">
      <c r="B955" s="238"/>
      <c r="H955" s="155"/>
      <c r="I955" s="239"/>
      <c r="L955" s="240"/>
      <c r="M955" s="241"/>
      <c r="N955" s="178"/>
      <c r="O955" s="242"/>
      <c r="P955" s="243"/>
    </row>
    <row r="956" spans="2:16" ht="12.75">
      <c r="B956" s="238"/>
      <c r="H956" s="155"/>
      <c r="I956" s="239"/>
      <c r="L956" s="240"/>
      <c r="M956" s="241"/>
      <c r="N956" s="178"/>
      <c r="O956" s="242"/>
      <c r="P956" s="243"/>
    </row>
    <row r="957" spans="2:16" ht="12.75">
      <c r="B957" s="238"/>
      <c r="H957" s="155"/>
      <c r="I957" s="239"/>
      <c r="L957" s="240"/>
      <c r="M957" s="241"/>
      <c r="N957" s="178"/>
      <c r="O957" s="242"/>
      <c r="P957" s="243"/>
    </row>
    <row r="958" spans="2:16" ht="12.75">
      <c r="B958" s="238"/>
      <c r="H958" s="155"/>
      <c r="I958" s="239"/>
      <c r="L958" s="240"/>
      <c r="M958" s="241"/>
      <c r="N958" s="178"/>
      <c r="O958" s="242"/>
      <c r="P958" s="243"/>
    </row>
    <row r="959" spans="2:16" ht="12.75">
      <c r="B959" s="238"/>
      <c r="H959" s="155"/>
      <c r="I959" s="239"/>
      <c r="L959" s="240"/>
      <c r="M959" s="241"/>
      <c r="N959" s="178"/>
      <c r="O959" s="242"/>
      <c r="P959" s="243"/>
    </row>
    <row r="960" spans="2:16" ht="12.75">
      <c r="B960" s="238"/>
      <c r="H960" s="155"/>
      <c r="I960" s="239"/>
      <c r="L960" s="240"/>
      <c r="M960" s="241"/>
      <c r="N960" s="178"/>
      <c r="O960" s="242"/>
      <c r="P960" s="243"/>
    </row>
    <row r="961" spans="2:16" ht="12.75">
      <c r="B961" s="238"/>
      <c r="H961" s="155"/>
      <c r="I961" s="239"/>
      <c r="L961" s="240"/>
      <c r="M961" s="241"/>
      <c r="N961" s="178"/>
      <c r="O961" s="242"/>
      <c r="P961" s="243"/>
    </row>
    <row r="962" spans="2:16" ht="12.75">
      <c r="B962" s="238"/>
      <c r="H962" s="155"/>
      <c r="I962" s="239"/>
      <c r="L962" s="240"/>
      <c r="M962" s="241"/>
      <c r="N962" s="178"/>
      <c r="O962" s="242"/>
      <c r="P962" s="243"/>
    </row>
    <row r="963" spans="2:16" ht="12.75">
      <c r="B963" s="238"/>
      <c r="H963" s="155"/>
      <c r="I963" s="239"/>
      <c r="L963" s="240"/>
      <c r="M963" s="241"/>
      <c r="N963" s="178"/>
      <c r="O963" s="242"/>
      <c r="P963" s="243"/>
    </row>
    <row r="964" spans="2:16" ht="12.75">
      <c r="B964" s="238"/>
      <c r="H964" s="155"/>
      <c r="I964" s="239"/>
      <c r="L964" s="240"/>
      <c r="M964" s="241"/>
      <c r="N964" s="178"/>
      <c r="O964" s="242"/>
      <c r="P964" s="243"/>
    </row>
    <row r="965" spans="2:16" ht="12.75">
      <c r="B965" s="238"/>
      <c r="H965" s="155"/>
      <c r="I965" s="239"/>
      <c r="L965" s="240"/>
      <c r="M965" s="241"/>
      <c r="N965" s="178"/>
      <c r="O965" s="242"/>
      <c r="P965" s="243"/>
    </row>
    <row r="966" spans="2:16" ht="12.75">
      <c r="B966" s="238"/>
      <c r="H966" s="155"/>
      <c r="I966" s="239"/>
      <c r="L966" s="240"/>
      <c r="M966" s="241"/>
      <c r="N966" s="178"/>
      <c r="O966" s="242"/>
      <c r="P966" s="243"/>
    </row>
    <row r="967" spans="2:16" ht="12.75">
      <c r="B967" s="238"/>
      <c r="H967" s="155"/>
      <c r="I967" s="239"/>
      <c r="L967" s="240"/>
      <c r="M967" s="241"/>
      <c r="N967" s="178"/>
      <c r="O967" s="242"/>
      <c r="P967" s="243"/>
    </row>
    <row r="968" spans="2:16" ht="12.75">
      <c r="B968" s="238"/>
      <c r="H968" s="155"/>
      <c r="I968" s="239"/>
      <c r="L968" s="240"/>
      <c r="M968" s="241"/>
      <c r="N968" s="178"/>
      <c r="O968" s="242"/>
      <c r="P968" s="243"/>
    </row>
    <row r="969" spans="2:16" ht="12.75">
      <c r="B969" s="238"/>
      <c r="H969" s="155"/>
      <c r="I969" s="239"/>
      <c r="L969" s="240"/>
      <c r="M969" s="241"/>
      <c r="N969" s="178"/>
      <c r="O969" s="242"/>
      <c r="P969" s="243"/>
    </row>
    <row r="970" spans="2:16" ht="12.75">
      <c r="B970" s="238"/>
      <c r="H970" s="155"/>
      <c r="I970" s="239"/>
      <c r="L970" s="240"/>
      <c r="M970" s="241"/>
      <c r="N970" s="178"/>
      <c r="O970" s="242"/>
      <c r="P970" s="243"/>
    </row>
    <row r="971" spans="2:16" ht="12.75">
      <c r="B971" s="238"/>
      <c r="H971" s="155"/>
      <c r="I971" s="239"/>
      <c r="L971" s="240"/>
      <c r="M971" s="241"/>
      <c r="N971" s="178"/>
      <c r="O971" s="242"/>
      <c r="P971" s="243"/>
    </row>
    <row r="972" spans="2:16" ht="12.75">
      <c r="B972" s="238"/>
      <c r="H972" s="155"/>
      <c r="I972" s="239"/>
      <c r="L972" s="240"/>
      <c r="M972" s="241"/>
      <c r="N972" s="178"/>
      <c r="O972" s="242"/>
      <c r="P972" s="243"/>
    </row>
    <row r="973" spans="2:16" ht="12.75">
      <c r="B973" s="238"/>
      <c r="H973" s="155"/>
      <c r="I973" s="239"/>
      <c r="L973" s="240"/>
      <c r="M973" s="241"/>
      <c r="N973" s="178"/>
      <c r="O973" s="242"/>
      <c r="P973" s="243"/>
    </row>
    <row r="974" spans="2:16" ht="12.75">
      <c r="B974" s="238"/>
      <c r="H974" s="155"/>
      <c r="I974" s="239"/>
      <c r="L974" s="240"/>
      <c r="M974" s="241"/>
      <c r="N974" s="178"/>
      <c r="O974" s="242"/>
      <c r="P974" s="243"/>
    </row>
    <row r="975" spans="2:16" ht="12.75">
      <c r="B975" s="238"/>
      <c r="H975" s="155"/>
      <c r="I975" s="239"/>
      <c r="L975" s="240"/>
      <c r="M975" s="241"/>
      <c r="N975" s="178"/>
      <c r="O975" s="242"/>
      <c r="P975" s="243"/>
    </row>
    <row r="976" spans="2:16" ht="12.75">
      <c r="B976" s="238"/>
      <c r="H976" s="155"/>
      <c r="I976" s="239"/>
      <c r="L976" s="240"/>
      <c r="M976" s="241"/>
      <c r="N976" s="178"/>
      <c r="O976" s="242"/>
      <c r="P976" s="243"/>
    </row>
    <row r="977" spans="2:16" ht="12.75">
      <c r="B977" s="238"/>
      <c r="H977" s="155"/>
      <c r="I977" s="239"/>
      <c r="L977" s="240"/>
      <c r="M977" s="241"/>
      <c r="N977" s="178"/>
      <c r="O977" s="242"/>
      <c r="P977" s="243"/>
    </row>
    <row r="978" spans="2:16" ht="12.75">
      <c r="B978" s="238"/>
      <c r="H978" s="155"/>
      <c r="I978" s="239"/>
      <c r="L978" s="240"/>
      <c r="M978" s="241"/>
      <c r="N978" s="178"/>
      <c r="O978" s="242"/>
      <c r="P978" s="243"/>
    </row>
    <row r="979" spans="2:16" ht="12.75">
      <c r="B979" s="238"/>
      <c r="H979" s="155"/>
      <c r="I979" s="239"/>
      <c r="L979" s="240"/>
      <c r="M979" s="241"/>
      <c r="N979" s="178"/>
      <c r="O979" s="242"/>
      <c r="P979" s="243"/>
    </row>
    <row r="980" spans="2:16" ht="12.75">
      <c r="B980" s="238"/>
      <c r="H980" s="155"/>
      <c r="I980" s="239"/>
      <c r="L980" s="240"/>
      <c r="M980" s="241"/>
      <c r="N980" s="178"/>
      <c r="O980" s="242"/>
      <c r="P980" s="243"/>
    </row>
    <row r="981" spans="2:16" ht="12.75">
      <c r="B981" s="238"/>
      <c r="H981" s="155"/>
      <c r="I981" s="239"/>
      <c r="L981" s="240"/>
      <c r="M981" s="241"/>
      <c r="N981" s="178"/>
      <c r="O981" s="242"/>
      <c r="P981" s="243"/>
    </row>
    <row r="982" spans="2:16" ht="12.75">
      <c r="B982" s="238"/>
      <c r="H982" s="155"/>
      <c r="I982" s="239"/>
      <c r="L982" s="240"/>
      <c r="M982" s="241"/>
      <c r="N982" s="178"/>
      <c r="O982" s="242"/>
      <c r="P982" s="243"/>
    </row>
    <row r="983" spans="2:16" ht="12.75">
      <c r="B983" s="238"/>
      <c r="H983" s="155"/>
      <c r="I983" s="239"/>
      <c r="L983" s="240"/>
      <c r="M983" s="241"/>
      <c r="N983" s="178"/>
      <c r="O983" s="242"/>
      <c r="P983" s="243"/>
    </row>
    <row r="984" spans="2:16" ht="12.75">
      <c r="B984" s="238"/>
      <c r="H984" s="155"/>
      <c r="I984" s="239"/>
      <c r="L984" s="240"/>
      <c r="M984" s="241"/>
      <c r="N984" s="178"/>
      <c r="O984" s="242"/>
      <c r="P984" s="243"/>
    </row>
    <row r="985" spans="2:16" ht="12.75">
      <c r="B985" s="238"/>
      <c r="H985" s="155"/>
      <c r="I985" s="239"/>
      <c r="L985" s="240"/>
      <c r="M985" s="241"/>
      <c r="N985" s="178"/>
      <c r="O985" s="242"/>
      <c r="P985" s="243"/>
    </row>
    <row r="986" spans="2:16" ht="12.75">
      <c r="B986" s="238"/>
      <c r="H986" s="155"/>
      <c r="I986" s="239"/>
      <c r="L986" s="240"/>
      <c r="M986" s="241"/>
      <c r="N986" s="178"/>
      <c r="O986" s="242"/>
      <c r="P986" s="243"/>
    </row>
    <row r="987" spans="2:16" ht="12.75">
      <c r="B987" s="238"/>
      <c r="H987" s="155"/>
      <c r="I987" s="239"/>
      <c r="L987" s="240"/>
      <c r="M987" s="241"/>
      <c r="N987" s="178"/>
      <c r="O987" s="242"/>
      <c r="P987" s="243"/>
    </row>
    <row r="988" spans="2:16" ht="12.75">
      <c r="B988" s="238"/>
      <c r="H988" s="155"/>
      <c r="I988" s="239"/>
      <c r="L988" s="240"/>
      <c r="M988" s="241"/>
      <c r="N988" s="178"/>
      <c r="O988" s="242"/>
      <c r="P988" s="243"/>
    </row>
    <row r="989" spans="2:16" ht="12.75">
      <c r="B989" s="238"/>
      <c r="H989" s="155"/>
      <c r="I989" s="239"/>
      <c r="L989" s="240"/>
      <c r="M989" s="241"/>
      <c r="N989" s="178"/>
      <c r="O989" s="242"/>
      <c r="P989" s="243"/>
    </row>
    <row r="990" spans="2:16" ht="12.75">
      <c r="B990" s="238"/>
      <c r="H990" s="155"/>
      <c r="I990" s="239"/>
      <c r="L990" s="240"/>
      <c r="M990" s="241"/>
      <c r="N990" s="178"/>
      <c r="O990" s="242"/>
      <c r="P990" s="243"/>
    </row>
    <row r="991" spans="2:16" ht="12.75">
      <c r="B991" s="238"/>
      <c r="H991" s="155"/>
      <c r="I991" s="239"/>
      <c r="L991" s="240"/>
      <c r="M991" s="241"/>
      <c r="N991" s="178"/>
      <c r="O991" s="242"/>
      <c r="P991" s="243"/>
    </row>
    <row r="992" spans="2:16" ht="12.75">
      <c r="B992" s="238"/>
      <c r="H992" s="155"/>
      <c r="I992" s="239"/>
      <c r="L992" s="240"/>
      <c r="M992" s="241"/>
      <c r="N992" s="178"/>
      <c r="O992" s="242"/>
      <c r="P992" s="243"/>
    </row>
    <row r="993" spans="2:16" ht="12.75">
      <c r="B993" s="238"/>
      <c r="H993" s="155"/>
      <c r="I993" s="239"/>
      <c r="L993" s="240"/>
      <c r="M993" s="241"/>
      <c r="N993" s="178"/>
      <c r="O993" s="242"/>
      <c r="P993" s="243"/>
    </row>
    <row r="994" spans="2:16" ht="12.75">
      <c r="B994" s="238"/>
      <c r="H994" s="155"/>
      <c r="I994" s="239"/>
      <c r="L994" s="240"/>
      <c r="M994" s="241"/>
      <c r="N994" s="178"/>
      <c r="O994" s="242"/>
      <c r="P994" s="243"/>
    </row>
    <row r="995" spans="2:16" ht="12.75">
      <c r="B995" s="238"/>
      <c r="H995" s="155"/>
      <c r="I995" s="239"/>
      <c r="L995" s="240"/>
      <c r="M995" s="241"/>
      <c r="N995" s="178"/>
      <c r="O995" s="242"/>
      <c r="P995" s="243"/>
    </row>
    <row r="996" spans="2:16" ht="12.75">
      <c r="B996" s="238"/>
      <c r="H996" s="155"/>
      <c r="I996" s="239"/>
      <c r="L996" s="240"/>
      <c r="M996" s="241"/>
      <c r="N996" s="178"/>
      <c r="O996" s="242"/>
      <c r="P996" s="243"/>
    </row>
    <row r="997" spans="2:16" ht="12.75">
      <c r="B997" s="238"/>
      <c r="H997" s="155"/>
      <c r="I997" s="239"/>
      <c r="L997" s="240"/>
      <c r="M997" s="241"/>
      <c r="N997" s="178"/>
      <c r="O997" s="242"/>
      <c r="P997" s="243"/>
    </row>
    <row r="998" spans="2:16" ht="12.75">
      <c r="B998" s="238"/>
      <c r="H998" s="155"/>
      <c r="I998" s="239"/>
      <c r="L998" s="240"/>
      <c r="M998" s="241"/>
      <c r="N998" s="178"/>
      <c r="O998" s="242"/>
      <c r="P998" s="243"/>
    </row>
    <row r="999" spans="2:16" ht="12.75">
      <c r="B999" s="238"/>
      <c r="H999" s="155"/>
      <c r="I999" s="239"/>
      <c r="L999" s="240"/>
      <c r="M999" s="241"/>
      <c r="N999" s="178"/>
      <c r="O999" s="242"/>
      <c r="P999" s="243"/>
    </row>
    <row r="1000" spans="2:16" ht="12.75">
      <c r="B1000" s="238"/>
      <c r="H1000" s="155"/>
      <c r="I1000" s="239"/>
      <c r="L1000" s="240"/>
      <c r="M1000" s="241"/>
      <c r="N1000" s="178"/>
      <c r="O1000" s="242"/>
      <c r="P1000" s="243"/>
    </row>
    <row r="1001" spans="2:16" ht="12.75">
      <c r="B1001" s="238"/>
      <c r="H1001" s="155"/>
      <c r="I1001" s="239"/>
      <c r="L1001" s="240"/>
      <c r="M1001" s="241"/>
      <c r="N1001" s="178"/>
      <c r="O1001" s="242"/>
      <c r="P1001" s="243"/>
    </row>
    <row r="1002" spans="2:16" ht="12.75">
      <c r="B1002" s="238"/>
      <c r="H1002" s="155"/>
      <c r="I1002" s="239"/>
      <c r="L1002" s="240"/>
      <c r="M1002" s="241"/>
      <c r="N1002" s="178"/>
      <c r="O1002" s="242"/>
      <c r="P1002" s="243"/>
    </row>
    <row r="1003" spans="2:16" ht="12.75">
      <c r="B1003" s="238"/>
      <c r="H1003" s="155"/>
      <c r="I1003" s="239"/>
      <c r="L1003" s="240"/>
      <c r="M1003" s="241"/>
      <c r="N1003" s="178"/>
      <c r="O1003" s="242"/>
      <c r="P1003" s="243"/>
    </row>
    <row r="1004" spans="2:16" ht="12.75">
      <c r="B1004" s="238"/>
      <c r="H1004" s="155"/>
      <c r="I1004" s="239"/>
      <c r="L1004" s="240"/>
      <c r="M1004" s="241"/>
      <c r="N1004" s="178"/>
      <c r="O1004" s="242"/>
      <c r="P1004" s="243"/>
    </row>
    <row r="1005" spans="2:16" ht="12.75">
      <c r="B1005" s="238"/>
      <c r="H1005" s="155"/>
      <c r="I1005" s="239"/>
      <c r="L1005" s="240"/>
      <c r="M1005" s="241"/>
      <c r="N1005" s="178"/>
      <c r="O1005" s="242"/>
      <c r="P1005" s="243"/>
    </row>
    <row r="1006" spans="2:16" ht="12.75">
      <c r="B1006" s="238"/>
      <c r="H1006" s="155"/>
      <c r="I1006" s="239"/>
      <c r="L1006" s="240"/>
      <c r="M1006" s="241"/>
      <c r="N1006" s="178"/>
      <c r="O1006" s="242"/>
      <c r="P1006" s="243"/>
    </row>
    <row r="1007" spans="2:16" ht="12.75">
      <c r="B1007" s="238"/>
      <c r="H1007" s="155"/>
      <c r="I1007" s="239"/>
      <c r="L1007" s="240"/>
      <c r="M1007" s="241"/>
      <c r="N1007" s="178"/>
      <c r="O1007" s="242"/>
      <c r="P1007" s="243"/>
    </row>
    <row r="1008" spans="2:16" ht="12.75">
      <c r="B1008" s="238"/>
      <c r="H1008" s="155"/>
      <c r="I1008" s="239"/>
      <c r="L1008" s="240"/>
      <c r="M1008" s="241"/>
      <c r="N1008" s="178"/>
      <c r="O1008" s="242"/>
      <c r="P1008" s="243"/>
    </row>
    <row r="1009" spans="2:16" ht="12.75">
      <c r="B1009" s="238"/>
      <c r="H1009" s="155"/>
      <c r="I1009" s="239"/>
      <c r="L1009" s="240"/>
      <c r="M1009" s="241"/>
      <c r="N1009" s="178"/>
      <c r="O1009" s="242"/>
      <c r="P1009" s="243"/>
    </row>
  </sheetData>
  <autoFilter ref="A1:P296"/>
  <mergeCells count="3">
    <mergeCell ref="L1:P1"/>
    <mergeCell ref="B147:H147"/>
    <mergeCell ref="B182:G18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11"/>
  <sheetViews>
    <sheetView workbookViewId="0"/>
  </sheetViews>
  <sheetFormatPr defaultColWidth="12.5703125" defaultRowHeight="15.75" customHeight="1"/>
  <cols>
    <col min="1" max="1" width="5.7109375" customWidth="1"/>
    <col min="2" max="2" width="38.42578125" customWidth="1"/>
    <col min="3" max="3" width="6.42578125" customWidth="1"/>
    <col min="4" max="4" width="18.85546875" customWidth="1"/>
    <col min="5" max="5" width="7.5703125" customWidth="1"/>
    <col min="6" max="6" width="8.28515625" customWidth="1"/>
    <col min="7" max="7" width="11.42578125" customWidth="1"/>
    <col min="8" max="8" width="5.5703125" customWidth="1"/>
    <col min="9" max="9" width="7.28515625" customWidth="1"/>
    <col min="10" max="10" width="4.5703125" customWidth="1"/>
    <col min="11" max="11" width="7.42578125" hidden="1" customWidth="1"/>
    <col min="12" max="12" width="7.85546875" customWidth="1"/>
    <col min="13" max="13" width="7.7109375" customWidth="1"/>
    <col min="14" max="14" width="10.85546875" customWidth="1"/>
    <col min="15" max="15" width="4" customWidth="1"/>
    <col min="16" max="16" width="8.140625" customWidth="1"/>
  </cols>
  <sheetData>
    <row r="1" spans="1:16" ht="18">
      <c r="A1" s="1" t="s">
        <v>0</v>
      </c>
      <c r="B1" s="2"/>
      <c r="C1" s="3"/>
      <c r="D1" s="4"/>
      <c r="E1" s="5"/>
      <c r="F1" s="3"/>
      <c r="G1" s="6"/>
      <c r="H1" s="7"/>
      <c r="I1" s="7"/>
      <c r="J1" s="8" t="s">
        <v>1</v>
      </c>
      <c r="K1" s="8"/>
      <c r="L1" s="253" t="s">
        <v>365</v>
      </c>
      <c r="M1" s="254"/>
      <c r="N1" s="254"/>
      <c r="O1" s="254"/>
      <c r="P1" s="254"/>
    </row>
    <row r="2" spans="1:16" ht="51">
      <c r="A2" s="9" t="s">
        <v>3</v>
      </c>
      <c r="B2" s="10" t="s">
        <v>4</v>
      </c>
      <c r="C2" s="11" t="s">
        <v>5</v>
      </c>
      <c r="D2" s="12" t="s">
        <v>6</v>
      </c>
      <c r="E2" s="13" t="s">
        <v>7</v>
      </c>
      <c r="F2" s="11" t="s">
        <v>8</v>
      </c>
      <c r="G2" s="11" t="s">
        <v>9</v>
      </c>
      <c r="H2" s="14" t="s">
        <v>10</v>
      </c>
      <c r="I2" s="15" t="s">
        <v>11</v>
      </c>
      <c r="J2" s="16" t="s">
        <v>12</v>
      </c>
      <c r="K2" s="16" t="s">
        <v>13</v>
      </c>
      <c r="L2" s="17" t="s">
        <v>14</v>
      </c>
      <c r="M2" s="18" t="s">
        <v>15</v>
      </c>
      <c r="N2" s="19" t="s">
        <v>16</v>
      </c>
      <c r="O2" s="20" t="s">
        <v>17</v>
      </c>
      <c r="P2" s="21" t="s">
        <v>18</v>
      </c>
    </row>
    <row r="3" spans="1:16" ht="28.5">
      <c r="A3" s="22">
        <v>1</v>
      </c>
      <c r="B3" s="23" t="s">
        <v>19</v>
      </c>
      <c r="C3" s="24" t="s">
        <v>20</v>
      </c>
      <c r="D3" s="25" t="s">
        <v>21</v>
      </c>
      <c r="E3" s="26">
        <v>46082</v>
      </c>
      <c r="F3" s="27">
        <v>66.849999999999994</v>
      </c>
      <c r="G3" s="28">
        <f t="shared" ref="G3:G4" si="0">F3*H3</f>
        <v>200.54999999999998</v>
      </c>
      <c r="H3" s="29">
        <v>3</v>
      </c>
      <c r="I3" s="30">
        <v>24</v>
      </c>
      <c r="J3" s="31"/>
      <c r="K3" s="32"/>
      <c r="L3" s="33">
        <v>0</v>
      </c>
      <c r="M3" s="34">
        <v>20</v>
      </c>
      <c r="N3" s="35">
        <v>4</v>
      </c>
      <c r="O3" s="36"/>
      <c r="P3" s="37">
        <f t="shared" ref="P3:P107" si="1">L3+M3+N3</f>
        <v>24</v>
      </c>
    </row>
    <row r="4" spans="1:16" ht="14.25">
      <c r="A4" s="38">
        <v>2</v>
      </c>
      <c r="B4" s="39" t="s">
        <v>22</v>
      </c>
      <c r="C4" s="40" t="s">
        <v>23</v>
      </c>
      <c r="D4" s="41" t="s">
        <v>24</v>
      </c>
      <c r="E4" s="26">
        <v>46143</v>
      </c>
      <c r="F4" s="27">
        <v>25.44</v>
      </c>
      <c r="G4" s="28">
        <f t="shared" si="0"/>
        <v>101.76</v>
      </c>
      <c r="H4" s="29">
        <v>4</v>
      </c>
      <c r="I4" s="30"/>
      <c r="J4" s="31"/>
      <c r="K4" s="32"/>
      <c r="L4" s="33">
        <v>0</v>
      </c>
      <c r="M4" s="42">
        <v>2</v>
      </c>
      <c r="N4" s="43">
        <v>2</v>
      </c>
      <c r="O4" s="36"/>
      <c r="P4" s="37">
        <f t="shared" si="1"/>
        <v>4</v>
      </c>
    </row>
    <row r="5" spans="1:16" ht="14.25">
      <c r="A5" s="22">
        <v>3</v>
      </c>
      <c r="B5" s="39" t="s">
        <v>22</v>
      </c>
      <c r="C5" s="40" t="s">
        <v>23</v>
      </c>
      <c r="D5" s="41" t="s">
        <v>25</v>
      </c>
      <c r="E5" s="44">
        <v>46539</v>
      </c>
      <c r="F5" s="27">
        <v>42.18</v>
      </c>
      <c r="G5" s="28">
        <f>F5*H5-0.02</f>
        <v>1265.3800000000001</v>
      </c>
      <c r="H5" s="29">
        <v>30</v>
      </c>
      <c r="I5" s="30"/>
      <c r="J5" s="31"/>
      <c r="K5" s="32"/>
      <c r="L5" s="45">
        <f>30-30</f>
        <v>0</v>
      </c>
      <c r="M5" s="34">
        <v>30</v>
      </c>
      <c r="N5" s="43"/>
      <c r="O5" s="36"/>
      <c r="P5" s="37">
        <f t="shared" si="1"/>
        <v>30</v>
      </c>
    </row>
    <row r="6" spans="1:16" ht="14.25">
      <c r="A6" s="22">
        <v>4</v>
      </c>
      <c r="B6" s="39" t="s">
        <v>22</v>
      </c>
      <c r="C6" s="40" t="s">
        <v>23</v>
      </c>
      <c r="D6" s="41" t="s">
        <v>26</v>
      </c>
      <c r="E6" s="26">
        <v>46447</v>
      </c>
      <c r="F6" s="27">
        <v>31.45</v>
      </c>
      <c r="G6" s="28">
        <f>F6*H6-0.05</f>
        <v>628.95000000000005</v>
      </c>
      <c r="H6" s="29">
        <v>20</v>
      </c>
      <c r="I6" s="30"/>
      <c r="J6" s="31"/>
      <c r="K6" s="32"/>
      <c r="L6" s="45">
        <v>20</v>
      </c>
      <c r="M6" s="34"/>
      <c r="N6" s="43"/>
      <c r="O6" s="36"/>
      <c r="P6" s="37">
        <f t="shared" si="1"/>
        <v>20</v>
      </c>
    </row>
    <row r="7" spans="1:16" ht="14.25">
      <c r="A7" s="22">
        <v>5</v>
      </c>
      <c r="B7" s="39" t="s">
        <v>27</v>
      </c>
      <c r="C7" s="40" t="s">
        <v>28</v>
      </c>
      <c r="D7" s="41" t="s">
        <v>29</v>
      </c>
      <c r="E7" s="44">
        <v>46023</v>
      </c>
      <c r="F7" s="27">
        <v>32.185000000000002</v>
      </c>
      <c r="G7" s="28">
        <f t="shared" ref="G7:G10" si="2">F7*H7</f>
        <v>225.29500000000002</v>
      </c>
      <c r="H7" s="29">
        <v>7</v>
      </c>
      <c r="I7" s="30">
        <v>64</v>
      </c>
      <c r="J7" s="31"/>
      <c r="K7" s="32"/>
      <c r="L7" s="45">
        <f>80-40-10-10</f>
        <v>20</v>
      </c>
      <c r="M7" s="34">
        <v>30</v>
      </c>
      <c r="N7" s="35">
        <v>14</v>
      </c>
      <c r="O7" s="36"/>
      <c r="P7" s="37">
        <f t="shared" si="1"/>
        <v>64</v>
      </c>
    </row>
    <row r="8" spans="1:16" ht="14.25">
      <c r="A8" s="22">
        <v>6</v>
      </c>
      <c r="B8" s="39" t="s">
        <v>30</v>
      </c>
      <c r="C8" s="40" t="s">
        <v>28</v>
      </c>
      <c r="D8" s="41" t="s">
        <v>31</v>
      </c>
      <c r="E8" s="44">
        <v>45992</v>
      </c>
      <c r="F8" s="27">
        <v>63.58</v>
      </c>
      <c r="G8" s="28">
        <f t="shared" si="2"/>
        <v>317.89999999999998</v>
      </c>
      <c r="H8" s="29">
        <v>5</v>
      </c>
      <c r="I8" s="30">
        <v>243</v>
      </c>
      <c r="J8" s="31"/>
      <c r="K8" s="32"/>
      <c r="L8" s="45">
        <v>0</v>
      </c>
      <c r="M8" s="34">
        <v>243</v>
      </c>
      <c r="N8" s="35"/>
      <c r="O8" s="36"/>
      <c r="P8" s="37">
        <f t="shared" si="1"/>
        <v>243</v>
      </c>
    </row>
    <row r="9" spans="1:16" ht="14.25">
      <c r="A9" s="22">
        <v>7</v>
      </c>
      <c r="B9" s="39" t="s">
        <v>32</v>
      </c>
      <c r="C9" s="40" t="s">
        <v>20</v>
      </c>
      <c r="D9" s="41" t="s">
        <v>33</v>
      </c>
      <c r="E9" s="26">
        <v>46266</v>
      </c>
      <c r="F9" s="27">
        <v>46.16</v>
      </c>
      <c r="G9" s="28">
        <f t="shared" si="2"/>
        <v>369.28</v>
      </c>
      <c r="H9" s="29">
        <v>8</v>
      </c>
      <c r="I9" s="30">
        <v>201</v>
      </c>
      <c r="J9" s="32"/>
      <c r="K9" s="32"/>
      <c r="L9" s="45">
        <f>5*28-1*28-2*28</f>
        <v>56</v>
      </c>
      <c r="M9" s="34">
        <v>89</v>
      </c>
      <c r="N9" s="43">
        <v>56</v>
      </c>
      <c r="O9" s="36"/>
      <c r="P9" s="37">
        <f t="shared" si="1"/>
        <v>201</v>
      </c>
    </row>
    <row r="10" spans="1:16" ht="14.25">
      <c r="A10" s="22">
        <v>8</v>
      </c>
      <c r="B10" s="39" t="s">
        <v>34</v>
      </c>
      <c r="C10" s="40" t="s">
        <v>23</v>
      </c>
      <c r="D10" s="41" t="s">
        <v>35</v>
      </c>
      <c r="E10" s="26">
        <v>46692</v>
      </c>
      <c r="F10" s="46">
        <v>13.942</v>
      </c>
      <c r="G10" s="28">
        <f t="shared" si="2"/>
        <v>13.942</v>
      </c>
      <c r="H10" s="29">
        <v>1</v>
      </c>
      <c r="I10" s="30"/>
      <c r="J10" s="31"/>
      <c r="K10" s="31"/>
      <c r="L10" s="45">
        <v>0</v>
      </c>
      <c r="M10" s="34"/>
      <c r="N10" s="43">
        <v>1</v>
      </c>
      <c r="O10" s="36"/>
      <c r="P10" s="37">
        <f t="shared" si="1"/>
        <v>1</v>
      </c>
    </row>
    <row r="11" spans="1:16" ht="14.25">
      <c r="A11" s="22">
        <v>9</v>
      </c>
      <c r="B11" s="39" t="s">
        <v>36</v>
      </c>
      <c r="C11" s="40" t="s">
        <v>20</v>
      </c>
      <c r="D11" s="41" t="s">
        <v>37</v>
      </c>
      <c r="E11" s="26">
        <v>46600</v>
      </c>
      <c r="F11" s="46">
        <v>27.55</v>
      </c>
      <c r="G11" s="28">
        <f>F11*H11+0.04</f>
        <v>413.29</v>
      </c>
      <c r="H11" s="29">
        <v>15</v>
      </c>
      <c r="I11" s="30">
        <v>150</v>
      </c>
      <c r="J11" s="31"/>
      <c r="K11" s="47"/>
      <c r="L11" s="45">
        <f>150-150</f>
        <v>0</v>
      </c>
      <c r="M11" s="34">
        <v>150</v>
      </c>
      <c r="N11" s="43"/>
      <c r="O11" s="36"/>
      <c r="P11" s="37">
        <f t="shared" si="1"/>
        <v>150</v>
      </c>
    </row>
    <row r="12" spans="1:16" ht="28.5">
      <c r="A12" s="22">
        <v>10</v>
      </c>
      <c r="B12" s="39" t="s">
        <v>38</v>
      </c>
      <c r="C12" s="40" t="s">
        <v>20</v>
      </c>
      <c r="D12" s="41" t="s">
        <v>29</v>
      </c>
      <c r="E12" s="26">
        <v>46784</v>
      </c>
      <c r="F12" s="46">
        <v>26.39</v>
      </c>
      <c r="G12" s="28">
        <f>F12*H12</f>
        <v>5278</v>
      </c>
      <c r="H12" s="29">
        <v>200</v>
      </c>
      <c r="I12" s="30"/>
      <c r="J12" s="31"/>
      <c r="K12" s="47"/>
      <c r="L12" s="45">
        <f>200</f>
        <v>200</v>
      </c>
      <c r="M12" s="34"/>
      <c r="N12" s="43"/>
      <c r="O12" s="36"/>
      <c r="P12" s="37">
        <f t="shared" si="1"/>
        <v>200</v>
      </c>
    </row>
    <row r="13" spans="1:16" ht="14.25">
      <c r="A13" s="22">
        <v>11</v>
      </c>
      <c r="B13" s="39" t="s">
        <v>39</v>
      </c>
      <c r="C13" s="40" t="s">
        <v>20</v>
      </c>
      <c r="D13" s="41" t="s">
        <v>40</v>
      </c>
      <c r="E13" s="44">
        <v>47665</v>
      </c>
      <c r="F13" s="27">
        <v>152.94999999999999</v>
      </c>
      <c r="G13" s="28">
        <f>F13*H13-0.06</f>
        <v>2294.19</v>
      </c>
      <c r="H13" s="29">
        <v>15</v>
      </c>
      <c r="I13" s="30">
        <v>300</v>
      </c>
      <c r="J13" s="31"/>
      <c r="K13" s="31"/>
      <c r="L13" s="45">
        <f>300-300</f>
        <v>0</v>
      </c>
      <c r="M13" s="34">
        <v>300</v>
      </c>
      <c r="N13" s="43"/>
      <c r="O13" s="36"/>
      <c r="P13" s="37">
        <f t="shared" si="1"/>
        <v>300</v>
      </c>
    </row>
    <row r="14" spans="1:16" ht="14.25">
      <c r="A14" s="22">
        <v>12</v>
      </c>
      <c r="B14" s="39" t="s">
        <v>41</v>
      </c>
      <c r="C14" s="40" t="s">
        <v>20</v>
      </c>
      <c r="D14" s="41" t="s">
        <v>37</v>
      </c>
      <c r="E14" s="44">
        <v>47665</v>
      </c>
      <c r="F14" s="27">
        <v>185.31</v>
      </c>
      <c r="G14" s="28">
        <f>F14*H14+0.07</f>
        <v>3706.27</v>
      </c>
      <c r="H14" s="29">
        <v>20</v>
      </c>
      <c r="I14" s="30">
        <v>200</v>
      </c>
      <c r="J14" s="31"/>
      <c r="K14" s="31"/>
      <c r="L14" s="45">
        <f>200-200</f>
        <v>0</v>
      </c>
      <c r="M14" s="34">
        <v>200</v>
      </c>
      <c r="N14" s="43"/>
      <c r="O14" s="36"/>
      <c r="P14" s="37">
        <f t="shared" si="1"/>
        <v>200</v>
      </c>
    </row>
    <row r="15" spans="1:16" ht="28.5">
      <c r="A15" s="22">
        <v>13</v>
      </c>
      <c r="B15" s="39" t="s">
        <v>42</v>
      </c>
      <c r="C15" s="40" t="s">
        <v>43</v>
      </c>
      <c r="D15" s="41" t="s">
        <v>44</v>
      </c>
      <c r="E15" s="44">
        <v>45962</v>
      </c>
      <c r="F15" s="27">
        <v>19.53</v>
      </c>
      <c r="G15" s="48">
        <f t="shared" ref="G15:G21" si="3">F15*H15</f>
        <v>39.06</v>
      </c>
      <c r="H15" s="29">
        <v>2</v>
      </c>
      <c r="I15" s="30"/>
      <c r="J15" s="31"/>
      <c r="K15" s="31"/>
      <c r="L15" s="45">
        <v>0</v>
      </c>
      <c r="M15" s="34">
        <v>2</v>
      </c>
      <c r="N15" s="43">
        <v>0</v>
      </c>
      <c r="O15" s="36"/>
      <c r="P15" s="37">
        <f t="shared" si="1"/>
        <v>2</v>
      </c>
    </row>
    <row r="16" spans="1:16" ht="28.5">
      <c r="A16" s="22">
        <v>14</v>
      </c>
      <c r="B16" s="49" t="s">
        <v>42</v>
      </c>
      <c r="C16" s="40" t="s">
        <v>43</v>
      </c>
      <c r="D16" s="41" t="s">
        <v>44</v>
      </c>
      <c r="E16" s="44">
        <v>45962</v>
      </c>
      <c r="F16" s="27">
        <v>19.53</v>
      </c>
      <c r="G16" s="48">
        <f t="shared" si="3"/>
        <v>19.53</v>
      </c>
      <c r="H16" s="29">
        <v>1</v>
      </c>
      <c r="I16" s="30"/>
      <c r="J16" s="31"/>
      <c r="K16" s="31"/>
      <c r="L16" s="45">
        <v>0</v>
      </c>
      <c r="M16" s="34">
        <v>1</v>
      </c>
      <c r="N16" s="43"/>
      <c r="O16" s="36"/>
      <c r="P16" s="37">
        <f t="shared" si="1"/>
        <v>1</v>
      </c>
    </row>
    <row r="17" spans="1:16" ht="14.25">
      <c r="A17" s="22">
        <v>15</v>
      </c>
      <c r="B17" s="50" t="s">
        <v>45</v>
      </c>
      <c r="C17" s="51" t="s">
        <v>43</v>
      </c>
      <c r="D17" s="41" t="s">
        <v>44</v>
      </c>
      <c r="E17" s="26">
        <v>46447</v>
      </c>
      <c r="F17" s="46">
        <v>22</v>
      </c>
      <c r="G17" s="28">
        <f t="shared" si="3"/>
        <v>66</v>
      </c>
      <c r="H17" s="29">
        <v>3</v>
      </c>
      <c r="I17" s="30"/>
      <c r="J17" s="31"/>
      <c r="K17" s="31"/>
      <c r="L17" s="45">
        <v>0</v>
      </c>
      <c r="M17" s="34">
        <v>2</v>
      </c>
      <c r="N17" s="35">
        <v>1</v>
      </c>
      <c r="O17" s="36"/>
      <c r="P17" s="37">
        <f t="shared" si="1"/>
        <v>3</v>
      </c>
    </row>
    <row r="18" spans="1:16" ht="14.25">
      <c r="A18" s="38">
        <v>16</v>
      </c>
      <c r="B18" s="52" t="s">
        <v>45</v>
      </c>
      <c r="C18" s="51" t="s">
        <v>43</v>
      </c>
      <c r="D18" s="41" t="s">
        <v>44</v>
      </c>
      <c r="E18" s="26">
        <v>46447</v>
      </c>
      <c r="F18" s="46">
        <v>22</v>
      </c>
      <c r="G18" s="28">
        <f t="shared" si="3"/>
        <v>22</v>
      </c>
      <c r="H18" s="29">
        <v>1</v>
      </c>
      <c r="I18" s="30"/>
      <c r="J18" s="31"/>
      <c r="K18" s="31"/>
      <c r="L18" s="45">
        <v>0</v>
      </c>
      <c r="M18" s="34">
        <v>0</v>
      </c>
      <c r="N18" s="35">
        <v>1</v>
      </c>
      <c r="O18" s="36"/>
      <c r="P18" s="37">
        <f t="shared" si="1"/>
        <v>1</v>
      </c>
    </row>
    <row r="19" spans="1:16" ht="28.5">
      <c r="A19" s="22">
        <v>17</v>
      </c>
      <c r="B19" s="53" t="s">
        <v>46</v>
      </c>
      <c r="C19" s="51" t="s">
        <v>47</v>
      </c>
      <c r="D19" s="41" t="s">
        <v>48</v>
      </c>
      <c r="E19" s="26">
        <v>47119</v>
      </c>
      <c r="F19" s="27">
        <v>7.5330000000000004</v>
      </c>
      <c r="G19" s="28">
        <f t="shared" si="3"/>
        <v>150.66</v>
      </c>
      <c r="H19" s="29">
        <v>20</v>
      </c>
      <c r="I19" s="30"/>
      <c r="J19" s="31"/>
      <c r="K19" s="31"/>
      <c r="L19" s="45">
        <v>0</v>
      </c>
      <c r="M19" s="34">
        <v>20</v>
      </c>
      <c r="N19" s="35"/>
      <c r="O19" s="36"/>
      <c r="P19" s="37">
        <f t="shared" si="1"/>
        <v>20</v>
      </c>
    </row>
    <row r="20" spans="1:16" ht="28.5">
      <c r="A20" s="22">
        <v>18</v>
      </c>
      <c r="B20" s="53" t="s">
        <v>49</v>
      </c>
      <c r="C20" s="51" t="s">
        <v>47</v>
      </c>
      <c r="D20" s="41" t="s">
        <v>37</v>
      </c>
      <c r="E20" s="26">
        <v>47484</v>
      </c>
      <c r="F20" s="27">
        <v>70.14</v>
      </c>
      <c r="G20" s="28">
        <f t="shared" si="3"/>
        <v>210.42000000000002</v>
      </c>
      <c r="H20" s="29">
        <v>3</v>
      </c>
      <c r="I20" s="30">
        <v>30</v>
      </c>
      <c r="J20" s="31"/>
      <c r="K20" s="31"/>
      <c r="L20" s="45">
        <f>30-10-20</f>
        <v>0</v>
      </c>
      <c r="M20" s="34">
        <v>20</v>
      </c>
      <c r="N20" s="35">
        <v>10</v>
      </c>
      <c r="O20" s="36"/>
      <c r="P20" s="37">
        <f t="shared" si="1"/>
        <v>30</v>
      </c>
    </row>
    <row r="21" spans="1:16" ht="28.5">
      <c r="A21" s="22">
        <v>19</v>
      </c>
      <c r="B21" s="54" t="s">
        <v>50</v>
      </c>
      <c r="C21" s="40" t="s">
        <v>20</v>
      </c>
      <c r="D21" s="41" t="s">
        <v>51</v>
      </c>
      <c r="E21" s="26">
        <v>46447</v>
      </c>
      <c r="F21" s="27">
        <v>17.3</v>
      </c>
      <c r="G21" s="28">
        <f t="shared" si="3"/>
        <v>2525.8000000000002</v>
      </c>
      <c r="H21" s="29">
        <v>146</v>
      </c>
      <c r="I21" s="30">
        <v>728</v>
      </c>
      <c r="J21" s="31"/>
      <c r="K21" s="31"/>
      <c r="L21" s="45">
        <f>44*5</f>
        <v>220</v>
      </c>
      <c r="M21" s="42">
        <v>123</v>
      </c>
      <c r="N21" s="35">
        <v>385</v>
      </c>
      <c r="O21" s="36"/>
      <c r="P21" s="37">
        <f t="shared" si="1"/>
        <v>728</v>
      </c>
    </row>
    <row r="22" spans="1:16" ht="14.25">
      <c r="A22" s="38">
        <v>20</v>
      </c>
      <c r="B22" s="39" t="s">
        <v>52</v>
      </c>
      <c r="C22" s="40" t="s">
        <v>20</v>
      </c>
      <c r="D22" s="41" t="s">
        <v>53</v>
      </c>
      <c r="E22" s="26">
        <v>46419</v>
      </c>
      <c r="F22" s="27">
        <v>21.914000000000001</v>
      </c>
      <c r="G22" s="28">
        <f t="shared" ref="G22:G23" si="4">F22*H22-0.01</f>
        <v>43.818000000000005</v>
      </c>
      <c r="H22" s="29">
        <v>2</v>
      </c>
      <c r="I22" s="30">
        <v>20</v>
      </c>
      <c r="J22" s="31"/>
      <c r="K22" s="31"/>
      <c r="L22" s="45">
        <f>2*10</f>
        <v>20</v>
      </c>
      <c r="M22" s="34"/>
      <c r="N22" s="35"/>
      <c r="O22" s="36"/>
      <c r="P22" s="37">
        <f t="shared" si="1"/>
        <v>20</v>
      </c>
    </row>
    <row r="23" spans="1:16" ht="14.25">
      <c r="A23" s="22">
        <v>21</v>
      </c>
      <c r="B23" s="49" t="s">
        <v>52</v>
      </c>
      <c r="C23" s="40" t="s">
        <v>20</v>
      </c>
      <c r="D23" s="41" t="s">
        <v>53</v>
      </c>
      <c r="E23" s="26">
        <v>46419</v>
      </c>
      <c r="F23" s="27">
        <v>21.914000000000001</v>
      </c>
      <c r="G23" s="28">
        <f t="shared" si="4"/>
        <v>87.646000000000001</v>
      </c>
      <c r="H23" s="29">
        <v>4</v>
      </c>
      <c r="I23" s="30">
        <v>39</v>
      </c>
      <c r="J23" s="31"/>
      <c r="K23" s="31"/>
      <c r="L23" s="45">
        <v>0</v>
      </c>
      <c r="M23" s="34">
        <v>0</v>
      </c>
      <c r="N23" s="35">
        <v>39</v>
      </c>
      <c r="O23" s="36"/>
      <c r="P23" s="37">
        <f t="shared" si="1"/>
        <v>39</v>
      </c>
    </row>
    <row r="24" spans="1:16" ht="28.5">
      <c r="A24" s="22">
        <v>22</v>
      </c>
      <c r="B24" s="54" t="s">
        <v>54</v>
      </c>
      <c r="C24" s="40" t="s">
        <v>20</v>
      </c>
      <c r="D24" s="41" t="s">
        <v>53</v>
      </c>
      <c r="E24" s="26">
        <v>46722</v>
      </c>
      <c r="F24" s="27">
        <v>27.07</v>
      </c>
      <c r="G24" s="28">
        <f t="shared" ref="G24:G27" si="5">F24*H24</f>
        <v>270.7</v>
      </c>
      <c r="H24" s="29">
        <v>10</v>
      </c>
      <c r="I24" s="30">
        <v>100</v>
      </c>
      <c r="J24" s="31"/>
      <c r="K24" s="31"/>
      <c r="L24" s="55">
        <f>10*10</f>
        <v>100</v>
      </c>
      <c r="M24" s="34"/>
      <c r="N24" s="35"/>
      <c r="O24" s="36"/>
      <c r="P24" s="37">
        <f t="shared" si="1"/>
        <v>100</v>
      </c>
    </row>
    <row r="25" spans="1:16" ht="14.25">
      <c r="A25" s="22">
        <v>23</v>
      </c>
      <c r="B25" s="39" t="s">
        <v>55</v>
      </c>
      <c r="C25" s="40" t="s">
        <v>28</v>
      </c>
      <c r="D25" s="41" t="s">
        <v>56</v>
      </c>
      <c r="E25" s="26">
        <v>46054</v>
      </c>
      <c r="F25" s="27">
        <v>21.19</v>
      </c>
      <c r="G25" s="48">
        <f t="shared" si="5"/>
        <v>42.38</v>
      </c>
      <c r="H25" s="29">
        <v>2</v>
      </c>
      <c r="I25" s="30">
        <v>20</v>
      </c>
      <c r="J25" s="31"/>
      <c r="K25" s="31"/>
      <c r="L25" s="45">
        <v>0</v>
      </c>
      <c r="M25" s="34">
        <v>10</v>
      </c>
      <c r="N25" s="35">
        <v>10</v>
      </c>
      <c r="O25" s="36"/>
      <c r="P25" s="37">
        <f t="shared" si="1"/>
        <v>20</v>
      </c>
    </row>
    <row r="26" spans="1:16" ht="28.5">
      <c r="A26" s="22">
        <v>24</v>
      </c>
      <c r="B26" s="39" t="s">
        <v>57</v>
      </c>
      <c r="C26" s="40" t="s">
        <v>20</v>
      </c>
      <c r="D26" s="41" t="s">
        <v>37</v>
      </c>
      <c r="E26" s="44">
        <v>47058</v>
      </c>
      <c r="F26" s="46">
        <v>607.61</v>
      </c>
      <c r="G26" s="48">
        <f t="shared" si="5"/>
        <v>607.61</v>
      </c>
      <c r="H26" s="29">
        <v>1</v>
      </c>
      <c r="I26" s="30">
        <v>10</v>
      </c>
      <c r="J26" s="31"/>
      <c r="K26" s="31"/>
      <c r="L26" s="45">
        <v>0</v>
      </c>
      <c r="M26" s="34">
        <v>10</v>
      </c>
      <c r="N26" s="43"/>
      <c r="O26" s="36"/>
      <c r="P26" s="37">
        <f t="shared" si="1"/>
        <v>10</v>
      </c>
    </row>
    <row r="27" spans="1:16" ht="28.5">
      <c r="A27" s="22">
        <v>25</v>
      </c>
      <c r="B27" s="39" t="s">
        <v>58</v>
      </c>
      <c r="C27" s="40" t="s">
        <v>20</v>
      </c>
      <c r="D27" s="41" t="s">
        <v>59</v>
      </c>
      <c r="E27" s="44">
        <v>45962</v>
      </c>
      <c r="F27" s="46">
        <v>373.4</v>
      </c>
      <c r="G27" s="28">
        <f t="shared" si="5"/>
        <v>373.4</v>
      </c>
      <c r="H27" s="29">
        <v>1</v>
      </c>
      <c r="I27" s="30">
        <v>10</v>
      </c>
      <c r="J27" s="31"/>
      <c r="K27" s="31"/>
      <c r="L27" s="45">
        <v>0</v>
      </c>
      <c r="M27" s="34">
        <v>10</v>
      </c>
      <c r="N27" s="43">
        <v>0</v>
      </c>
      <c r="O27" s="36"/>
      <c r="P27" s="37">
        <f t="shared" si="1"/>
        <v>10</v>
      </c>
    </row>
    <row r="28" spans="1:16" ht="28.5">
      <c r="A28" s="22">
        <v>26</v>
      </c>
      <c r="B28" s="39" t="s">
        <v>60</v>
      </c>
      <c r="C28" s="40" t="s">
        <v>20</v>
      </c>
      <c r="D28" s="41" t="s">
        <v>61</v>
      </c>
      <c r="E28" s="26">
        <v>46935</v>
      </c>
      <c r="F28" s="46">
        <v>71.239999999999995</v>
      </c>
      <c r="G28" s="28">
        <f>F28*H28+0.01</f>
        <v>712.41</v>
      </c>
      <c r="H28" s="29">
        <v>10</v>
      </c>
      <c r="I28" s="56">
        <v>50</v>
      </c>
      <c r="J28" s="31"/>
      <c r="K28" s="31"/>
      <c r="L28" s="45">
        <f>50-5</f>
        <v>45</v>
      </c>
      <c r="M28" s="34"/>
      <c r="N28" s="43">
        <v>5</v>
      </c>
      <c r="O28" s="36"/>
      <c r="P28" s="37">
        <f t="shared" si="1"/>
        <v>50</v>
      </c>
    </row>
    <row r="29" spans="1:16" ht="28.5">
      <c r="A29" s="22">
        <v>27</v>
      </c>
      <c r="B29" s="39" t="s">
        <v>60</v>
      </c>
      <c r="C29" s="40"/>
      <c r="D29" s="41" t="s">
        <v>62</v>
      </c>
      <c r="E29" s="26">
        <v>45931</v>
      </c>
      <c r="F29" s="46">
        <v>24.716999999999999</v>
      </c>
      <c r="G29" s="28">
        <f t="shared" ref="G29:G31" si="6">F29*H29</f>
        <v>0</v>
      </c>
      <c r="H29" s="29">
        <v>0</v>
      </c>
      <c r="I29" s="56">
        <v>0</v>
      </c>
      <c r="J29" s="31"/>
      <c r="K29" s="31"/>
      <c r="L29" s="45">
        <v>0</v>
      </c>
      <c r="M29" s="34">
        <v>0</v>
      </c>
      <c r="N29" s="43">
        <v>0</v>
      </c>
      <c r="O29" s="36"/>
      <c r="P29" s="37">
        <f t="shared" si="1"/>
        <v>0</v>
      </c>
    </row>
    <row r="30" spans="1:16" ht="28.5">
      <c r="A30" s="22">
        <v>28</v>
      </c>
      <c r="B30" s="49" t="s">
        <v>63</v>
      </c>
      <c r="C30" s="40" t="s">
        <v>20</v>
      </c>
      <c r="D30" s="41" t="s">
        <v>64</v>
      </c>
      <c r="E30" s="26">
        <v>46023</v>
      </c>
      <c r="F30" s="27">
        <v>37.31</v>
      </c>
      <c r="G30" s="28">
        <f t="shared" si="6"/>
        <v>37.31</v>
      </c>
      <c r="H30" s="29">
        <v>1</v>
      </c>
      <c r="I30" s="56">
        <v>10</v>
      </c>
      <c r="J30" s="57"/>
      <c r="K30" s="57"/>
      <c r="L30" s="33">
        <v>0</v>
      </c>
      <c r="M30" s="34"/>
      <c r="N30" s="35">
        <v>10</v>
      </c>
      <c r="O30" s="36"/>
      <c r="P30" s="37">
        <f t="shared" si="1"/>
        <v>10</v>
      </c>
    </row>
    <row r="31" spans="1:16" ht="28.5">
      <c r="A31" s="22">
        <v>29</v>
      </c>
      <c r="B31" s="54" t="s">
        <v>65</v>
      </c>
      <c r="C31" s="40" t="s">
        <v>20</v>
      </c>
      <c r="D31" s="41" t="s">
        <v>64</v>
      </c>
      <c r="E31" s="26">
        <v>46235</v>
      </c>
      <c r="F31" s="27">
        <v>38.840000000000003</v>
      </c>
      <c r="G31" s="28">
        <f t="shared" si="6"/>
        <v>116.52000000000001</v>
      </c>
      <c r="H31" s="29">
        <v>3</v>
      </c>
      <c r="I31" s="30">
        <v>23</v>
      </c>
      <c r="J31" s="32"/>
      <c r="K31" s="32"/>
      <c r="L31" s="33">
        <v>0</v>
      </c>
      <c r="M31" s="34">
        <v>13</v>
      </c>
      <c r="N31" s="35">
        <v>10</v>
      </c>
      <c r="O31" s="36"/>
      <c r="P31" s="37">
        <f t="shared" si="1"/>
        <v>23</v>
      </c>
    </row>
    <row r="32" spans="1:16" ht="14.25">
      <c r="A32" s="22">
        <v>30</v>
      </c>
      <c r="B32" s="49" t="s">
        <v>66</v>
      </c>
      <c r="C32" s="40" t="s">
        <v>20</v>
      </c>
      <c r="D32" s="41" t="s">
        <v>67</v>
      </c>
      <c r="E32" s="44">
        <v>46966</v>
      </c>
      <c r="F32" s="27">
        <v>106.67</v>
      </c>
      <c r="G32" s="28">
        <f>F32*H32-0.03</f>
        <v>2133.37</v>
      </c>
      <c r="H32" s="29">
        <v>20</v>
      </c>
      <c r="I32" s="30">
        <v>400</v>
      </c>
      <c r="J32" s="31"/>
      <c r="K32" s="47"/>
      <c r="L32" s="45">
        <f>400-400</f>
        <v>0</v>
      </c>
      <c r="M32" s="34">
        <v>400</v>
      </c>
      <c r="N32" s="43"/>
      <c r="O32" s="36"/>
      <c r="P32" s="37">
        <f t="shared" si="1"/>
        <v>400</v>
      </c>
    </row>
    <row r="33" spans="1:16" ht="14.25">
      <c r="A33" s="22">
        <v>31</v>
      </c>
      <c r="B33" s="49" t="s">
        <v>68</v>
      </c>
      <c r="C33" s="40" t="s">
        <v>20</v>
      </c>
      <c r="D33" s="41" t="s">
        <v>67</v>
      </c>
      <c r="E33" s="44">
        <v>46082</v>
      </c>
      <c r="F33" s="27">
        <v>37.8673</v>
      </c>
      <c r="G33" s="28">
        <f t="shared" ref="G33:G35" si="7">F33*H33</f>
        <v>416.5403</v>
      </c>
      <c r="H33" s="29">
        <v>11</v>
      </c>
      <c r="I33" s="30">
        <v>217</v>
      </c>
      <c r="J33" s="31"/>
      <c r="K33" s="47"/>
      <c r="L33" s="45"/>
      <c r="M33" s="34">
        <v>217</v>
      </c>
      <c r="N33" s="43"/>
      <c r="O33" s="36"/>
      <c r="P33" s="37">
        <f t="shared" si="1"/>
        <v>217</v>
      </c>
    </row>
    <row r="34" spans="1:16" ht="14.25">
      <c r="A34" s="22">
        <v>32</v>
      </c>
      <c r="B34" s="23" t="s">
        <v>69</v>
      </c>
      <c r="C34" s="40" t="s">
        <v>20</v>
      </c>
      <c r="D34" s="41" t="s">
        <v>67</v>
      </c>
      <c r="E34" s="44">
        <v>46419</v>
      </c>
      <c r="F34" s="27">
        <v>37.229999999999997</v>
      </c>
      <c r="G34" s="28">
        <f t="shared" si="7"/>
        <v>297.83999999999997</v>
      </c>
      <c r="H34" s="29">
        <v>8</v>
      </c>
      <c r="I34" s="30">
        <v>159</v>
      </c>
      <c r="J34" s="31"/>
      <c r="K34" s="47"/>
      <c r="L34" s="45">
        <v>0</v>
      </c>
      <c r="M34" s="34">
        <v>159</v>
      </c>
      <c r="N34" s="43">
        <v>0</v>
      </c>
      <c r="O34" s="36"/>
      <c r="P34" s="37">
        <f t="shared" si="1"/>
        <v>159</v>
      </c>
    </row>
    <row r="35" spans="1:16" ht="14.25">
      <c r="A35" s="38">
        <v>33</v>
      </c>
      <c r="B35" s="23" t="s">
        <v>69</v>
      </c>
      <c r="C35" s="40" t="s">
        <v>20</v>
      </c>
      <c r="D35" s="41" t="s">
        <v>67</v>
      </c>
      <c r="E35" s="44">
        <v>46508</v>
      </c>
      <c r="F35" s="58">
        <v>36.549999999999997</v>
      </c>
      <c r="G35" s="28">
        <f t="shared" si="7"/>
        <v>73.099999999999994</v>
      </c>
      <c r="H35" s="29">
        <v>2</v>
      </c>
      <c r="I35" s="30">
        <v>40</v>
      </c>
      <c r="J35" s="59"/>
      <c r="K35" s="57"/>
      <c r="L35" s="33">
        <v>40</v>
      </c>
      <c r="M35" s="34"/>
      <c r="N35" s="35"/>
      <c r="O35" s="36"/>
      <c r="P35" s="37">
        <f t="shared" si="1"/>
        <v>40</v>
      </c>
    </row>
    <row r="36" spans="1:16" ht="14.25">
      <c r="A36" s="38">
        <v>34</v>
      </c>
      <c r="B36" s="23" t="s">
        <v>69</v>
      </c>
      <c r="C36" s="40" t="s">
        <v>20</v>
      </c>
      <c r="D36" s="41" t="s">
        <v>67</v>
      </c>
      <c r="E36" s="44">
        <v>46874</v>
      </c>
      <c r="F36" s="58">
        <v>67.97</v>
      </c>
      <c r="G36" s="28">
        <f>F36*H36-0.17</f>
        <v>3262.39</v>
      </c>
      <c r="H36" s="29">
        <v>48</v>
      </c>
      <c r="I36" s="30">
        <v>960</v>
      </c>
      <c r="J36" s="59"/>
      <c r="K36" s="57"/>
      <c r="L36" s="33">
        <v>960</v>
      </c>
      <c r="M36" s="34"/>
      <c r="N36" s="35"/>
      <c r="O36" s="36"/>
      <c r="P36" s="37">
        <f t="shared" si="1"/>
        <v>960</v>
      </c>
    </row>
    <row r="37" spans="1:16" ht="14.25">
      <c r="A37" s="38">
        <v>35</v>
      </c>
      <c r="B37" s="39" t="s">
        <v>70</v>
      </c>
      <c r="C37" s="40" t="s">
        <v>20</v>
      </c>
      <c r="D37" s="41" t="s">
        <v>71</v>
      </c>
      <c r="E37" s="44">
        <v>46997</v>
      </c>
      <c r="F37" s="58">
        <v>54.31</v>
      </c>
      <c r="G37" s="28">
        <f>F37*H37+0.01</f>
        <v>162.94</v>
      </c>
      <c r="H37" s="29">
        <v>3</v>
      </c>
      <c r="I37" s="30">
        <v>150</v>
      </c>
      <c r="J37" s="59"/>
      <c r="K37" s="57"/>
      <c r="L37" s="33">
        <f>150-150</f>
        <v>0</v>
      </c>
      <c r="M37" s="34">
        <v>150</v>
      </c>
      <c r="N37" s="35"/>
      <c r="O37" s="36"/>
      <c r="P37" s="37">
        <f t="shared" si="1"/>
        <v>150</v>
      </c>
    </row>
    <row r="38" spans="1:16" ht="14.25">
      <c r="A38" s="38">
        <v>36</v>
      </c>
      <c r="B38" s="39" t="s">
        <v>72</v>
      </c>
      <c r="C38" s="40" t="s">
        <v>23</v>
      </c>
      <c r="D38" s="41" t="s">
        <v>73</v>
      </c>
      <c r="E38" s="44">
        <v>46753</v>
      </c>
      <c r="F38" s="58">
        <v>46.72</v>
      </c>
      <c r="G38" s="28">
        <f>F38*H38-0.06</f>
        <v>700.74</v>
      </c>
      <c r="H38" s="29">
        <v>15</v>
      </c>
      <c r="I38" s="30"/>
      <c r="J38" s="59"/>
      <c r="K38" s="57"/>
      <c r="L38" s="33">
        <f>15-15</f>
        <v>0</v>
      </c>
      <c r="M38" s="34">
        <v>15</v>
      </c>
      <c r="N38" s="35"/>
      <c r="O38" s="36"/>
      <c r="P38" s="37">
        <f t="shared" si="1"/>
        <v>15</v>
      </c>
    </row>
    <row r="39" spans="1:16" ht="28.5">
      <c r="A39" s="38">
        <v>37</v>
      </c>
      <c r="B39" s="39" t="s">
        <v>74</v>
      </c>
      <c r="C39" s="40" t="s">
        <v>20</v>
      </c>
      <c r="D39" s="41" t="s">
        <v>37</v>
      </c>
      <c r="E39" s="44">
        <v>47515</v>
      </c>
      <c r="F39" s="58">
        <v>77.09</v>
      </c>
      <c r="G39" s="28">
        <f t="shared" ref="G39:G50" si="8">F39*H39</f>
        <v>77.09</v>
      </c>
      <c r="H39" s="29">
        <v>1</v>
      </c>
      <c r="I39" s="30">
        <v>10</v>
      </c>
      <c r="J39" s="59"/>
      <c r="K39" s="57"/>
      <c r="L39" s="33">
        <f>10-10</f>
        <v>0</v>
      </c>
      <c r="M39" s="34">
        <v>10</v>
      </c>
      <c r="N39" s="35"/>
      <c r="O39" s="36"/>
      <c r="P39" s="37">
        <f t="shared" si="1"/>
        <v>10</v>
      </c>
    </row>
    <row r="40" spans="1:16" ht="14.25">
      <c r="A40" s="38">
        <v>38</v>
      </c>
      <c r="B40" s="39" t="s">
        <v>75</v>
      </c>
      <c r="C40" s="40" t="s">
        <v>76</v>
      </c>
      <c r="D40" s="41" t="s">
        <v>77</v>
      </c>
      <c r="E40" s="44">
        <v>46113</v>
      </c>
      <c r="F40" s="58">
        <v>152.881666</v>
      </c>
      <c r="G40" s="28">
        <f t="shared" si="8"/>
        <v>4433.5683140000001</v>
      </c>
      <c r="H40" s="29">
        <v>29</v>
      </c>
      <c r="I40" s="30"/>
      <c r="J40" s="59"/>
      <c r="K40" s="57"/>
      <c r="L40" s="33">
        <v>0</v>
      </c>
      <c r="M40" s="34">
        <v>15</v>
      </c>
      <c r="N40" s="35">
        <v>14</v>
      </c>
      <c r="O40" s="36"/>
      <c r="P40" s="37">
        <f t="shared" si="1"/>
        <v>29</v>
      </c>
    </row>
    <row r="41" spans="1:16" ht="14.25">
      <c r="A41" s="22">
        <v>39</v>
      </c>
      <c r="B41" s="39" t="s">
        <v>78</v>
      </c>
      <c r="C41" s="40" t="s">
        <v>20</v>
      </c>
      <c r="D41" s="41" t="s">
        <v>79</v>
      </c>
      <c r="E41" s="44">
        <v>46174</v>
      </c>
      <c r="F41" s="27">
        <v>11.3</v>
      </c>
      <c r="G41" s="28">
        <f t="shared" si="8"/>
        <v>45.2</v>
      </c>
      <c r="H41" s="29">
        <v>4</v>
      </c>
      <c r="I41" s="30">
        <v>40</v>
      </c>
      <c r="J41" s="59"/>
      <c r="K41" s="57"/>
      <c r="L41" s="33">
        <v>0</v>
      </c>
      <c r="M41" s="34">
        <v>40</v>
      </c>
      <c r="N41" s="35"/>
      <c r="O41" s="36"/>
      <c r="P41" s="37">
        <f t="shared" si="1"/>
        <v>40</v>
      </c>
    </row>
    <row r="42" spans="1:16" ht="28.5">
      <c r="A42" s="22">
        <v>40</v>
      </c>
      <c r="B42" s="39" t="s">
        <v>80</v>
      </c>
      <c r="C42" s="40" t="s">
        <v>20</v>
      </c>
      <c r="D42" s="41" t="s">
        <v>81</v>
      </c>
      <c r="E42" s="44">
        <v>46692</v>
      </c>
      <c r="F42" s="27">
        <v>25.3</v>
      </c>
      <c r="G42" s="28">
        <f t="shared" si="8"/>
        <v>177.1</v>
      </c>
      <c r="H42" s="29">
        <v>7</v>
      </c>
      <c r="I42" s="30">
        <v>66</v>
      </c>
      <c r="J42" s="31"/>
      <c r="K42" s="31"/>
      <c r="L42" s="45">
        <f>10*10-10*10</f>
        <v>0</v>
      </c>
      <c r="M42" s="34">
        <v>66</v>
      </c>
      <c r="N42" s="43"/>
      <c r="O42" s="36"/>
      <c r="P42" s="37">
        <f t="shared" si="1"/>
        <v>66</v>
      </c>
    </row>
    <row r="43" spans="1:16" ht="28.5">
      <c r="A43" s="22">
        <v>41</v>
      </c>
      <c r="B43" s="49" t="s">
        <v>80</v>
      </c>
      <c r="C43" s="40" t="s">
        <v>20</v>
      </c>
      <c r="D43" s="41" t="s">
        <v>81</v>
      </c>
      <c r="E43" s="44">
        <v>46692</v>
      </c>
      <c r="F43" s="27">
        <v>25.3</v>
      </c>
      <c r="G43" s="28">
        <f t="shared" si="8"/>
        <v>50.6</v>
      </c>
      <c r="H43" s="29">
        <v>2</v>
      </c>
      <c r="I43" s="30">
        <v>11</v>
      </c>
      <c r="J43" s="31"/>
      <c r="K43" s="31"/>
      <c r="L43" s="45">
        <v>0</v>
      </c>
      <c r="M43" s="34">
        <v>11</v>
      </c>
      <c r="N43" s="43"/>
      <c r="O43" s="36"/>
      <c r="P43" s="37">
        <f t="shared" si="1"/>
        <v>11</v>
      </c>
    </row>
    <row r="44" spans="1:16" ht="28.5">
      <c r="A44" s="22">
        <v>42</v>
      </c>
      <c r="B44" s="54" t="s">
        <v>82</v>
      </c>
      <c r="C44" s="40" t="s">
        <v>20</v>
      </c>
      <c r="D44" s="41" t="s">
        <v>81</v>
      </c>
      <c r="E44" s="44">
        <v>47150</v>
      </c>
      <c r="F44" s="27">
        <v>31.02</v>
      </c>
      <c r="G44" s="28">
        <f t="shared" si="8"/>
        <v>961.62</v>
      </c>
      <c r="H44" s="29">
        <v>31</v>
      </c>
      <c r="I44" s="30">
        <v>310</v>
      </c>
      <c r="J44" s="31"/>
      <c r="K44" s="31"/>
      <c r="L44" s="45">
        <f>31*10</f>
        <v>310</v>
      </c>
      <c r="M44" s="34"/>
      <c r="N44" s="60"/>
      <c r="O44" s="36"/>
      <c r="P44" s="37">
        <f t="shared" si="1"/>
        <v>310</v>
      </c>
    </row>
    <row r="45" spans="1:16" ht="14.25">
      <c r="A45" s="22">
        <v>43</v>
      </c>
      <c r="B45" s="39" t="s">
        <v>83</v>
      </c>
      <c r="C45" s="40" t="s">
        <v>20</v>
      </c>
      <c r="D45" s="41" t="s">
        <v>84</v>
      </c>
      <c r="E45" s="26">
        <v>46266</v>
      </c>
      <c r="F45" s="27">
        <v>90.63</v>
      </c>
      <c r="G45" s="28">
        <f t="shared" si="8"/>
        <v>271.89</v>
      </c>
      <c r="H45" s="29">
        <v>3</v>
      </c>
      <c r="I45" s="30">
        <v>29</v>
      </c>
      <c r="J45" s="31"/>
      <c r="K45" s="32"/>
      <c r="L45" s="33">
        <v>0</v>
      </c>
      <c r="M45" s="42">
        <v>20</v>
      </c>
      <c r="N45" s="35">
        <v>10</v>
      </c>
      <c r="O45" s="36"/>
      <c r="P45" s="37">
        <f t="shared" si="1"/>
        <v>30</v>
      </c>
    </row>
    <row r="46" spans="1:16" ht="14.25">
      <c r="A46" s="22">
        <v>44</v>
      </c>
      <c r="B46" s="49" t="s">
        <v>83</v>
      </c>
      <c r="C46" s="40" t="s">
        <v>20</v>
      </c>
      <c r="D46" s="41" t="s">
        <v>84</v>
      </c>
      <c r="E46" s="26">
        <v>46266</v>
      </c>
      <c r="F46" s="27">
        <v>90.63</v>
      </c>
      <c r="G46" s="28">
        <f t="shared" si="8"/>
        <v>90.63</v>
      </c>
      <c r="H46" s="29">
        <v>1</v>
      </c>
      <c r="I46" s="30">
        <v>4</v>
      </c>
      <c r="J46" s="31"/>
      <c r="K46" s="32"/>
      <c r="L46" s="33">
        <v>0</v>
      </c>
      <c r="M46" s="42">
        <v>4</v>
      </c>
      <c r="N46" s="35"/>
      <c r="O46" s="36"/>
      <c r="P46" s="37">
        <f t="shared" si="1"/>
        <v>4</v>
      </c>
    </row>
    <row r="47" spans="1:16" ht="14.25">
      <c r="A47" s="22">
        <v>45</v>
      </c>
      <c r="B47" s="39" t="s">
        <v>85</v>
      </c>
      <c r="C47" s="40" t="s">
        <v>20</v>
      </c>
      <c r="D47" s="41" t="s">
        <v>86</v>
      </c>
      <c r="E47" s="26">
        <v>45931</v>
      </c>
      <c r="F47" s="27">
        <v>41.815330000000003</v>
      </c>
      <c r="G47" s="28">
        <f t="shared" si="8"/>
        <v>0</v>
      </c>
      <c r="H47" s="29">
        <v>0</v>
      </c>
      <c r="I47" s="30">
        <v>0</v>
      </c>
      <c r="J47" s="31"/>
      <c r="K47" s="32"/>
      <c r="L47" s="33">
        <v>0</v>
      </c>
      <c r="M47" s="42">
        <v>0</v>
      </c>
      <c r="N47" s="35">
        <v>0</v>
      </c>
      <c r="O47" s="36"/>
      <c r="P47" s="37">
        <f t="shared" si="1"/>
        <v>0</v>
      </c>
    </row>
    <row r="48" spans="1:16" ht="28.5">
      <c r="A48" s="22">
        <v>46</v>
      </c>
      <c r="B48" s="49" t="s">
        <v>87</v>
      </c>
      <c r="C48" s="40" t="s">
        <v>20</v>
      </c>
      <c r="D48" s="41" t="s">
        <v>81</v>
      </c>
      <c r="E48" s="26">
        <v>46539</v>
      </c>
      <c r="F48" s="27">
        <v>18.309999999999999</v>
      </c>
      <c r="G48" s="28">
        <f t="shared" si="8"/>
        <v>109.85999999999999</v>
      </c>
      <c r="H48" s="29">
        <v>6</v>
      </c>
      <c r="I48" s="30">
        <v>57</v>
      </c>
      <c r="J48" s="31"/>
      <c r="K48" s="32"/>
      <c r="L48" s="33">
        <v>0</v>
      </c>
      <c r="M48" s="34">
        <v>7</v>
      </c>
      <c r="N48" s="35">
        <v>50</v>
      </c>
      <c r="O48" s="36"/>
      <c r="P48" s="37">
        <f t="shared" si="1"/>
        <v>57</v>
      </c>
    </row>
    <row r="49" spans="1:16" ht="28.5">
      <c r="A49" s="38">
        <v>47</v>
      </c>
      <c r="B49" s="54" t="s">
        <v>88</v>
      </c>
      <c r="C49" s="40" t="s">
        <v>20</v>
      </c>
      <c r="D49" s="41" t="s">
        <v>81</v>
      </c>
      <c r="E49" s="26">
        <v>46813</v>
      </c>
      <c r="F49" s="27">
        <v>22.34</v>
      </c>
      <c r="G49" s="28">
        <f t="shared" si="8"/>
        <v>446.8</v>
      </c>
      <c r="H49" s="29">
        <v>20</v>
      </c>
      <c r="I49" s="30">
        <v>196</v>
      </c>
      <c r="J49" s="31"/>
      <c r="K49" s="32"/>
      <c r="L49" s="45">
        <f>20*10-1*10-1*10</f>
        <v>180</v>
      </c>
      <c r="M49" s="42">
        <v>16</v>
      </c>
      <c r="N49" s="35"/>
      <c r="O49" s="36"/>
      <c r="P49" s="37">
        <f t="shared" si="1"/>
        <v>196</v>
      </c>
    </row>
    <row r="50" spans="1:16" ht="28.5">
      <c r="A50" s="22">
        <v>48</v>
      </c>
      <c r="B50" s="49" t="s">
        <v>89</v>
      </c>
      <c r="C50" s="40" t="s">
        <v>23</v>
      </c>
      <c r="D50" s="41" t="s">
        <v>90</v>
      </c>
      <c r="E50" s="26">
        <v>46935</v>
      </c>
      <c r="F50" s="27">
        <v>16.274699999999999</v>
      </c>
      <c r="G50" s="28">
        <f t="shared" si="8"/>
        <v>32.549399999999999</v>
      </c>
      <c r="H50" s="29">
        <v>2</v>
      </c>
      <c r="I50" s="30"/>
      <c r="J50" s="31"/>
      <c r="K50" s="32"/>
      <c r="L50" s="45">
        <v>0</v>
      </c>
      <c r="M50" s="42">
        <v>2</v>
      </c>
      <c r="N50" s="35"/>
      <c r="O50" s="36"/>
      <c r="P50" s="37">
        <f t="shared" si="1"/>
        <v>2</v>
      </c>
    </row>
    <row r="51" spans="1:16" ht="28.5">
      <c r="A51" s="22">
        <v>49</v>
      </c>
      <c r="B51" s="54" t="s">
        <v>91</v>
      </c>
      <c r="C51" s="40" t="s">
        <v>23</v>
      </c>
      <c r="D51" s="41" t="s">
        <v>77</v>
      </c>
      <c r="E51" s="26">
        <v>46935</v>
      </c>
      <c r="F51" s="27">
        <v>16.760000000000002</v>
      </c>
      <c r="G51" s="28">
        <f>F51*H51-0.08</f>
        <v>335.12000000000006</v>
      </c>
      <c r="H51" s="29">
        <v>20</v>
      </c>
      <c r="I51" s="30"/>
      <c r="J51" s="31"/>
      <c r="K51" s="32"/>
      <c r="L51" s="45">
        <v>20</v>
      </c>
      <c r="M51" s="42"/>
      <c r="N51" s="35"/>
      <c r="O51" s="36"/>
      <c r="P51" s="37">
        <f t="shared" si="1"/>
        <v>20</v>
      </c>
    </row>
    <row r="52" spans="1:16" ht="28.5">
      <c r="A52" s="22">
        <v>50</v>
      </c>
      <c r="B52" s="54" t="s">
        <v>91</v>
      </c>
      <c r="C52" s="40" t="s">
        <v>23</v>
      </c>
      <c r="D52" s="41" t="s">
        <v>77</v>
      </c>
      <c r="E52" s="26">
        <v>46905</v>
      </c>
      <c r="F52" s="27">
        <v>16.760000000000002</v>
      </c>
      <c r="G52" s="28">
        <f>F52*H52-0.04</f>
        <v>167.56000000000003</v>
      </c>
      <c r="H52" s="29">
        <v>10</v>
      </c>
      <c r="I52" s="30"/>
      <c r="J52" s="31"/>
      <c r="K52" s="32"/>
      <c r="L52" s="45">
        <f>10-7</f>
        <v>3</v>
      </c>
      <c r="M52" s="42">
        <v>7</v>
      </c>
      <c r="N52" s="35"/>
      <c r="O52" s="36"/>
      <c r="P52" s="37">
        <f t="shared" si="1"/>
        <v>10</v>
      </c>
    </row>
    <row r="53" spans="1:16" ht="14.25">
      <c r="A53" s="22">
        <v>51</v>
      </c>
      <c r="B53" s="54" t="s">
        <v>92</v>
      </c>
      <c r="C53" s="40" t="s">
        <v>20</v>
      </c>
      <c r="D53" s="41" t="s">
        <v>90</v>
      </c>
      <c r="E53" s="26">
        <v>46478</v>
      </c>
      <c r="F53" s="27">
        <v>17.66</v>
      </c>
      <c r="G53" s="28">
        <f t="shared" ref="G53:G57" si="9">F53*H53</f>
        <v>529.79999999999995</v>
      </c>
      <c r="H53" s="29">
        <v>30</v>
      </c>
      <c r="I53" s="30"/>
      <c r="J53" s="31"/>
      <c r="K53" s="32"/>
      <c r="L53" s="45">
        <v>0</v>
      </c>
      <c r="M53" s="42">
        <v>23</v>
      </c>
      <c r="N53" s="35">
        <v>12</v>
      </c>
      <c r="O53" s="36"/>
      <c r="P53" s="37">
        <f t="shared" si="1"/>
        <v>35</v>
      </c>
    </row>
    <row r="54" spans="1:16" ht="28.5">
      <c r="A54" s="38">
        <v>52</v>
      </c>
      <c r="B54" s="39" t="s">
        <v>93</v>
      </c>
      <c r="C54" s="40" t="s">
        <v>20</v>
      </c>
      <c r="D54" s="41" t="s">
        <v>94</v>
      </c>
      <c r="E54" s="44">
        <v>46327</v>
      </c>
      <c r="F54" s="27">
        <v>14.787000000000001</v>
      </c>
      <c r="G54" s="28">
        <f t="shared" si="9"/>
        <v>103.509</v>
      </c>
      <c r="H54" s="29">
        <v>7</v>
      </c>
      <c r="I54" s="30">
        <v>35</v>
      </c>
      <c r="J54" s="31"/>
      <c r="K54" s="31"/>
      <c r="L54" s="45">
        <v>0</v>
      </c>
      <c r="M54" s="42">
        <v>35</v>
      </c>
      <c r="N54" s="61"/>
      <c r="O54" s="36"/>
      <c r="P54" s="37">
        <f t="shared" si="1"/>
        <v>35</v>
      </c>
    </row>
    <row r="55" spans="1:16" ht="28.5">
      <c r="A55" s="22">
        <v>53</v>
      </c>
      <c r="B55" s="49" t="s">
        <v>93</v>
      </c>
      <c r="C55" s="40" t="s">
        <v>20</v>
      </c>
      <c r="D55" s="41" t="s">
        <v>94</v>
      </c>
      <c r="E55" s="44">
        <v>46631</v>
      </c>
      <c r="F55" s="27">
        <v>21.77</v>
      </c>
      <c r="G55" s="28">
        <f t="shared" si="9"/>
        <v>0</v>
      </c>
      <c r="H55" s="29">
        <v>0</v>
      </c>
      <c r="I55" s="30">
        <v>0</v>
      </c>
      <c r="J55" s="31"/>
      <c r="K55" s="31"/>
      <c r="L55" s="45">
        <v>0</v>
      </c>
      <c r="M55" s="42">
        <v>0</v>
      </c>
      <c r="N55" s="35">
        <v>0</v>
      </c>
      <c r="O55" s="36"/>
      <c r="P55" s="37">
        <f t="shared" si="1"/>
        <v>0</v>
      </c>
    </row>
    <row r="56" spans="1:16" ht="14.25">
      <c r="A56" s="22">
        <v>54</v>
      </c>
      <c r="B56" s="39" t="s">
        <v>95</v>
      </c>
      <c r="C56" s="40" t="s">
        <v>20</v>
      </c>
      <c r="D56" s="41" t="s">
        <v>96</v>
      </c>
      <c r="E56" s="26">
        <v>46357</v>
      </c>
      <c r="F56" s="27">
        <v>16.5</v>
      </c>
      <c r="G56" s="28">
        <f t="shared" si="9"/>
        <v>495</v>
      </c>
      <c r="H56" s="29">
        <v>30</v>
      </c>
      <c r="I56" s="30">
        <v>300</v>
      </c>
      <c r="J56" s="31"/>
      <c r="K56" s="32"/>
      <c r="L56" s="45">
        <f>30*10-2*10</f>
        <v>280</v>
      </c>
      <c r="M56" s="34">
        <v>0</v>
      </c>
      <c r="N56" s="43">
        <v>20</v>
      </c>
      <c r="O56" s="36"/>
      <c r="P56" s="37">
        <f t="shared" si="1"/>
        <v>300</v>
      </c>
    </row>
    <row r="57" spans="1:16" ht="14.25">
      <c r="A57" s="22">
        <v>55</v>
      </c>
      <c r="B57" s="49" t="s">
        <v>95</v>
      </c>
      <c r="C57" s="40" t="s">
        <v>20</v>
      </c>
      <c r="D57" s="41" t="s">
        <v>96</v>
      </c>
      <c r="E57" s="26">
        <v>46357</v>
      </c>
      <c r="F57" s="27">
        <v>16.5</v>
      </c>
      <c r="G57" s="28">
        <f t="shared" si="9"/>
        <v>49.5</v>
      </c>
      <c r="H57" s="29">
        <v>3</v>
      </c>
      <c r="I57" s="30">
        <v>27</v>
      </c>
      <c r="J57" s="31"/>
      <c r="K57" s="32"/>
      <c r="L57" s="45">
        <v>0</v>
      </c>
      <c r="M57" s="34">
        <v>27</v>
      </c>
      <c r="N57" s="43"/>
      <c r="O57" s="36"/>
      <c r="P57" s="37">
        <f t="shared" si="1"/>
        <v>27</v>
      </c>
    </row>
    <row r="58" spans="1:16" ht="14.25">
      <c r="A58" s="22">
        <v>56</v>
      </c>
      <c r="B58" s="62" t="s">
        <v>97</v>
      </c>
      <c r="C58" s="40" t="s">
        <v>23</v>
      </c>
      <c r="D58" s="63" t="s">
        <v>98</v>
      </c>
      <c r="E58" s="26">
        <v>46023</v>
      </c>
      <c r="F58" s="46">
        <v>20.48</v>
      </c>
      <c r="G58" s="48">
        <f>F58*H58-0.02</f>
        <v>225.26</v>
      </c>
      <c r="H58" s="29">
        <v>11</v>
      </c>
      <c r="I58" s="30"/>
      <c r="J58" s="31"/>
      <c r="K58" s="32"/>
      <c r="L58" s="45">
        <f>20-10-5-5</f>
        <v>0</v>
      </c>
      <c r="M58" s="34">
        <v>7</v>
      </c>
      <c r="N58" s="35">
        <v>4</v>
      </c>
      <c r="O58" s="36"/>
      <c r="P58" s="37">
        <f t="shared" si="1"/>
        <v>11</v>
      </c>
    </row>
    <row r="59" spans="1:16" ht="14.25">
      <c r="A59" s="22">
        <v>57</v>
      </c>
      <c r="B59" s="39" t="s">
        <v>97</v>
      </c>
      <c r="C59" s="40" t="s">
        <v>23</v>
      </c>
      <c r="D59" s="41" t="s">
        <v>98</v>
      </c>
      <c r="E59" s="26">
        <v>46508</v>
      </c>
      <c r="F59" s="27">
        <v>11.78</v>
      </c>
      <c r="G59" s="48">
        <f>F59*H59+0.07</f>
        <v>1178.07</v>
      </c>
      <c r="H59" s="64">
        <v>100</v>
      </c>
      <c r="I59" s="30"/>
      <c r="J59" s="32"/>
      <c r="K59" s="32"/>
      <c r="L59" s="33">
        <f>100-4</f>
        <v>96</v>
      </c>
      <c r="M59" s="42"/>
      <c r="N59" s="43">
        <v>4</v>
      </c>
      <c r="O59" s="36"/>
      <c r="P59" s="37">
        <f t="shared" si="1"/>
        <v>100</v>
      </c>
    </row>
    <row r="60" spans="1:16" ht="14.25">
      <c r="A60" s="22">
        <v>58</v>
      </c>
      <c r="B60" s="39" t="s">
        <v>99</v>
      </c>
      <c r="C60" s="40" t="s">
        <v>23</v>
      </c>
      <c r="D60" s="41" t="s">
        <v>77</v>
      </c>
      <c r="E60" s="26">
        <v>46054</v>
      </c>
      <c r="F60" s="27">
        <v>69.849999999999994</v>
      </c>
      <c r="G60" s="28">
        <f>F60*H60</f>
        <v>209.54999999999998</v>
      </c>
      <c r="H60" s="64">
        <v>3</v>
      </c>
      <c r="I60" s="30"/>
      <c r="J60" s="32"/>
      <c r="K60" s="32"/>
      <c r="L60" s="33">
        <v>0</v>
      </c>
      <c r="M60" s="42">
        <v>2</v>
      </c>
      <c r="N60" s="43">
        <v>1</v>
      </c>
      <c r="O60" s="36"/>
      <c r="P60" s="37">
        <f t="shared" si="1"/>
        <v>3</v>
      </c>
    </row>
    <row r="61" spans="1:16" ht="42.75">
      <c r="A61" s="22">
        <v>59</v>
      </c>
      <c r="B61" s="39" t="s">
        <v>100</v>
      </c>
      <c r="C61" s="40" t="s">
        <v>20</v>
      </c>
      <c r="D61" s="41" t="s">
        <v>101</v>
      </c>
      <c r="E61" s="26">
        <v>46569</v>
      </c>
      <c r="F61" s="27">
        <v>77.430000000000007</v>
      </c>
      <c r="G61" s="28">
        <f>F61*H61-0.01</f>
        <v>232.28000000000003</v>
      </c>
      <c r="H61" s="64">
        <v>3</v>
      </c>
      <c r="I61" s="30"/>
      <c r="J61" s="32"/>
      <c r="K61" s="32"/>
      <c r="L61" s="33">
        <f>3-1-2</f>
        <v>0</v>
      </c>
      <c r="M61" s="42">
        <v>2</v>
      </c>
      <c r="N61" s="43">
        <v>1</v>
      </c>
      <c r="O61" s="36"/>
      <c r="P61" s="37">
        <f t="shared" si="1"/>
        <v>3</v>
      </c>
    </row>
    <row r="62" spans="1:16" ht="28.5">
      <c r="A62" s="22">
        <v>60</v>
      </c>
      <c r="B62" s="39" t="s">
        <v>102</v>
      </c>
      <c r="C62" s="40" t="s">
        <v>23</v>
      </c>
      <c r="D62" s="41" t="s">
        <v>103</v>
      </c>
      <c r="E62" s="26">
        <v>46388</v>
      </c>
      <c r="F62" s="27">
        <v>28.37</v>
      </c>
      <c r="G62" s="48">
        <f t="shared" ref="G62:G68" si="10">F62*H62</f>
        <v>170.22</v>
      </c>
      <c r="H62" s="64">
        <v>6</v>
      </c>
      <c r="I62" s="30"/>
      <c r="J62" s="32"/>
      <c r="K62" s="32"/>
      <c r="L62" s="33">
        <v>0</v>
      </c>
      <c r="M62" s="42">
        <v>0</v>
      </c>
      <c r="N62" s="43">
        <v>6</v>
      </c>
      <c r="O62" s="36"/>
      <c r="P62" s="37">
        <f t="shared" si="1"/>
        <v>6</v>
      </c>
    </row>
    <row r="63" spans="1:16" ht="14.25">
      <c r="A63" s="38">
        <v>61</v>
      </c>
      <c r="B63" s="39" t="s">
        <v>104</v>
      </c>
      <c r="C63" s="40" t="s">
        <v>23</v>
      </c>
      <c r="D63" s="41" t="s">
        <v>98</v>
      </c>
      <c r="E63" s="44">
        <v>46784</v>
      </c>
      <c r="F63" s="46">
        <v>27</v>
      </c>
      <c r="G63" s="28">
        <f t="shared" si="10"/>
        <v>10557</v>
      </c>
      <c r="H63" s="64">
        <v>391</v>
      </c>
      <c r="I63" s="30"/>
      <c r="J63" s="32"/>
      <c r="K63" s="65"/>
      <c r="L63" s="33">
        <f>390-10-30</f>
        <v>350</v>
      </c>
      <c r="M63" s="34">
        <v>31</v>
      </c>
      <c r="N63" s="35">
        <v>10</v>
      </c>
      <c r="O63" s="36"/>
      <c r="P63" s="37">
        <f t="shared" si="1"/>
        <v>391</v>
      </c>
    </row>
    <row r="64" spans="1:16" ht="14.25">
      <c r="A64" s="22">
        <v>62</v>
      </c>
      <c r="B64" s="49" t="s">
        <v>104</v>
      </c>
      <c r="C64" s="40" t="s">
        <v>23</v>
      </c>
      <c r="D64" s="41" t="s">
        <v>98</v>
      </c>
      <c r="E64" s="26">
        <v>46784</v>
      </c>
      <c r="F64" s="46">
        <v>27</v>
      </c>
      <c r="G64" s="28">
        <f t="shared" si="10"/>
        <v>0</v>
      </c>
      <c r="H64" s="29">
        <v>0</v>
      </c>
      <c r="I64" s="30"/>
      <c r="J64" s="31"/>
      <c r="K64" s="31"/>
      <c r="L64" s="45">
        <v>0</v>
      </c>
      <c r="M64" s="34">
        <v>0</v>
      </c>
      <c r="N64" s="43">
        <v>0</v>
      </c>
      <c r="O64" s="66"/>
      <c r="P64" s="37">
        <f t="shared" si="1"/>
        <v>0</v>
      </c>
    </row>
    <row r="65" spans="1:16" ht="28.5">
      <c r="A65" s="22">
        <v>63</v>
      </c>
      <c r="B65" s="49" t="s">
        <v>105</v>
      </c>
      <c r="C65" s="40" t="s">
        <v>47</v>
      </c>
      <c r="D65" s="41" t="s">
        <v>84</v>
      </c>
      <c r="E65" s="26">
        <v>46784</v>
      </c>
      <c r="F65" s="46">
        <v>26.96</v>
      </c>
      <c r="G65" s="48">
        <f t="shared" si="10"/>
        <v>26.96</v>
      </c>
      <c r="H65" s="29">
        <v>1</v>
      </c>
      <c r="I65" s="30">
        <v>5</v>
      </c>
      <c r="J65" s="31"/>
      <c r="K65" s="31"/>
      <c r="L65" s="45">
        <v>0</v>
      </c>
      <c r="M65" s="34">
        <v>5</v>
      </c>
      <c r="N65" s="43">
        <v>0</v>
      </c>
      <c r="O65" s="66"/>
      <c r="P65" s="37">
        <f t="shared" si="1"/>
        <v>5</v>
      </c>
    </row>
    <row r="66" spans="1:16" ht="18" customHeight="1">
      <c r="A66" s="22">
        <v>64</v>
      </c>
      <c r="B66" s="39" t="s">
        <v>106</v>
      </c>
      <c r="C66" s="40" t="s">
        <v>76</v>
      </c>
      <c r="D66" s="41" t="s">
        <v>77</v>
      </c>
      <c r="E66" s="67">
        <v>46113</v>
      </c>
      <c r="F66" s="58">
        <v>26.364660000000001</v>
      </c>
      <c r="G66" s="28">
        <f t="shared" si="10"/>
        <v>738.21047999999996</v>
      </c>
      <c r="H66" s="29">
        <v>28</v>
      </c>
      <c r="I66" s="30"/>
      <c r="J66" s="31"/>
      <c r="K66" s="31"/>
      <c r="L66" s="45">
        <v>0</v>
      </c>
      <c r="M66" s="34">
        <v>14</v>
      </c>
      <c r="N66" s="43">
        <v>14</v>
      </c>
      <c r="O66" s="66"/>
      <c r="P66" s="37">
        <f t="shared" si="1"/>
        <v>28</v>
      </c>
    </row>
    <row r="67" spans="1:16" ht="14.25">
      <c r="A67" s="22">
        <v>65</v>
      </c>
      <c r="B67" s="39" t="s">
        <v>107</v>
      </c>
      <c r="C67" s="40" t="s">
        <v>20</v>
      </c>
      <c r="D67" s="41" t="s">
        <v>108</v>
      </c>
      <c r="E67" s="26">
        <v>46327</v>
      </c>
      <c r="F67" s="27">
        <v>16.48</v>
      </c>
      <c r="G67" s="28">
        <f t="shared" si="10"/>
        <v>49.44</v>
      </c>
      <c r="H67" s="29">
        <v>3</v>
      </c>
      <c r="I67" s="30">
        <v>150</v>
      </c>
      <c r="J67" s="31"/>
      <c r="K67" s="31"/>
      <c r="L67" s="45">
        <v>0</v>
      </c>
      <c r="M67" s="34">
        <v>100</v>
      </c>
      <c r="N67" s="35">
        <v>50</v>
      </c>
      <c r="O67" s="36"/>
      <c r="P67" s="37">
        <f t="shared" si="1"/>
        <v>150</v>
      </c>
    </row>
    <row r="68" spans="1:16" ht="14.25">
      <c r="A68" s="22">
        <v>66</v>
      </c>
      <c r="B68" s="39" t="s">
        <v>109</v>
      </c>
      <c r="C68" s="40" t="s">
        <v>20</v>
      </c>
      <c r="D68" s="41" t="s">
        <v>110</v>
      </c>
      <c r="E68" s="26">
        <v>46357</v>
      </c>
      <c r="F68" s="27">
        <v>45.143000000000001</v>
      </c>
      <c r="G68" s="48">
        <f t="shared" si="10"/>
        <v>180.572</v>
      </c>
      <c r="H68" s="29">
        <v>4</v>
      </c>
      <c r="I68" s="30">
        <v>80</v>
      </c>
      <c r="J68" s="31"/>
      <c r="K68" s="31"/>
      <c r="L68" s="45">
        <v>0</v>
      </c>
      <c r="M68" s="34">
        <v>80</v>
      </c>
      <c r="N68" s="35"/>
      <c r="O68" s="36"/>
      <c r="P68" s="37">
        <f t="shared" si="1"/>
        <v>80</v>
      </c>
    </row>
    <row r="69" spans="1:16" ht="28.5">
      <c r="A69" s="22">
        <v>67</v>
      </c>
      <c r="B69" s="39" t="s">
        <v>111</v>
      </c>
      <c r="C69" s="40" t="s">
        <v>20</v>
      </c>
      <c r="D69" s="41" t="s">
        <v>37</v>
      </c>
      <c r="E69" s="26">
        <v>46753</v>
      </c>
      <c r="F69" s="46">
        <v>33.729999999999997</v>
      </c>
      <c r="G69" s="48">
        <f>F69*H69-0.04</f>
        <v>337.25999999999993</v>
      </c>
      <c r="H69" s="29">
        <v>10</v>
      </c>
      <c r="I69" s="30">
        <v>100</v>
      </c>
      <c r="J69" s="31"/>
      <c r="K69" s="32"/>
      <c r="L69" s="45">
        <v>100</v>
      </c>
      <c r="M69" s="34"/>
      <c r="N69" s="35"/>
      <c r="O69" s="36"/>
      <c r="P69" s="37">
        <f t="shared" si="1"/>
        <v>100</v>
      </c>
    </row>
    <row r="70" spans="1:16" ht="28.5">
      <c r="A70" s="22">
        <v>68</v>
      </c>
      <c r="B70" s="39" t="s">
        <v>112</v>
      </c>
      <c r="C70" s="40" t="s">
        <v>20</v>
      </c>
      <c r="D70" s="41" t="s">
        <v>94</v>
      </c>
      <c r="E70" s="26">
        <v>46235</v>
      </c>
      <c r="F70" s="46">
        <v>71.018000000000001</v>
      </c>
      <c r="G70" s="28">
        <f t="shared" ref="G70:G71" si="11">F70*H70-0.01</f>
        <v>355.08000000000004</v>
      </c>
      <c r="H70" s="29">
        <v>5</v>
      </c>
      <c r="I70" s="30">
        <v>25</v>
      </c>
      <c r="J70" s="31"/>
      <c r="K70" s="32"/>
      <c r="L70" s="45">
        <f>5*5</f>
        <v>25</v>
      </c>
      <c r="M70" s="34"/>
      <c r="N70" s="35">
        <v>0</v>
      </c>
      <c r="O70" s="36"/>
      <c r="P70" s="37">
        <f t="shared" si="1"/>
        <v>25</v>
      </c>
    </row>
    <row r="71" spans="1:16" ht="28.5">
      <c r="A71" s="22">
        <v>69</v>
      </c>
      <c r="B71" s="49" t="s">
        <v>113</v>
      </c>
      <c r="C71" s="40" t="s">
        <v>20</v>
      </c>
      <c r="D71" s="41" t="s">
        <v>94</v>
      </c>
      <c r="E71" s="26">
        <v>46235</v>
      </c>
      <c r="F71" s="27">
        <v>71.02</v>
      </c>
      <c r="G71" s="28">
        <f t="shared" si="11"/>
        <v>142.03</v>
      </c>
      <c r="H71" s="29">
        <v>2</v>
      </c>
      <c r="I71" s="30">
        <v>8</v>
      </c>
      <c r="J71" s="31"/>
      <c r="K71" s="32"/>
      <c r="L71" s="45">
        <v>0</v>
      </c>
      <c r="M71" s="34"/>
      <c r="N71" s="35">
        <v>8</v>
      </c>
      <c r="O71" s="36"/>
      <c r="P71" s="37">
        <f t="shared" si="1"/>
        <v>8</v>
      </c>
    </row>
    <row r="72" spans="1:16" ht="21" customHeight="1">
      <c r="A72" s="22">
        <v>70</v>
      </c>
      <c r="B72" s="68" t="s">
        <v>114</v>
      </c>
      <c r="C72" s="69" t="s">
        <v>23</v>
      </c>
      <c r="D72" s="25" t="s">
        <v>115</v>
      </c>
      <c r="E72" s="70">
        <v>46447</v>
      </c>
      <c r="F72" s="64">
        <v>15.13</v>
      </c>
      <c r="G72" s="28">
        <f t="shared" ref="G72:G107" si="12">F72*H72</f>
        <v>75.650000000000006</v>
      </c>
      <c r="H72" s="64">
        <v>5</v>
      </c>
      <c r="I72" s="71"/>
      <c r="J72" s="31"/>
      <c r="K72" s="32"/>
      <c r="L72" s="33">
        <v>0</v>
      </c>
      <c r="M72" s="34">
        <v>2</v>
      </c>
      <c r="N72" s="35">
        <v>3</v>
      </c>
      <c r="O72" s="36"/>
      <c r="P72" s="37">
        <f t="shared" si="1"/>
        <v>5</v>
      </c>
    </row>
    <row r="73" spans="1:16" ht="28.5">
      <c r="A73" s="38">
        <v>71</v>
      </c>
      <c r="B73" s="72" t="s">
        <v>116</v>
      </c>
      <c r="C73" s="69"/>
      <c r="D73" s="73"/>
      <c r="E73" s="70">
        <v>46113</v>
      </c>
      <c r="F73" s="74">
        <v>3234.61</v>
      </c>
      <c r="G73" s="28">
        <f t="shared" si="12"/>
        <v>252299.58000000002</v>
      </c>
      <c r="H73" s="64">
        <v>78</v>
      </c>
      <c r="I73" s="71">
        <v>780</v>
      </c>
      <c r="J73" s="31"/>
      <c r="K73" s="32"/>
      <c r="L73" s="33"/>
      <c r="M73" s="34"/>
      <c r="N73" s="35">
        <v>780</v>
      </c>
      <c r="O73" s="36"/>
      <c r="P73" s="37">
        <f t="shared" si="1"/>
        <v>780</v>
      </c>
    </row>
    <row r="74" spans="1:16" ht="28.5">
      <c r="A74" s="38">
        <v>72</v>
      </c>
      <c r="B74" s="72" t="s">
        <v>117</v>
      </c>
      <c r="C74" s="69" t="s">
        <v>118</v>
      </c>
      <c r="D74" s="73"/>
      <c r="E74" s="70">
        <v>46174</v>
      </c>
      <c r="F74" s="74">
        <v>2.14</v>
      </c>
      <c r="G74" s="28">
        <f t="shared" si="12"/>
        <v>774.68000000000006</v>
      </c>
      <c r="H74" s="64">
        <v>362</v>
      </c>
      <c r="I74" s="71"/>
      <c r="J74" s="31"/>
      <c r="K74" s="32"/>
      <c r="L74" s="33"/>
      <c r="M74" s="34"/>
      <c r="N74" s="35">
        <v>362</v>
      </c>
      <c r="O74" s="36"/>
      <c r="P74" s="37">
        <f t="shared" si="1"/>
        <v>362</v>
      </c>
    </row>
    <row r="75" spans="1:16" ht="24">
      <c r="A75" s="22">
        <v>73</v>
      </c>
      <c r="B75" s="75" t="s">
        <v>119</v>
      </c>
      <c r="C75" s="76"/>
      <c r="D75" s="77" t="s">
        <v>120</v>
      </c>
      <c r="E75" s="78"/>
      <c r="F75" s="79">
        <v>72</v>
      </c>
      <c r="G75" s="80">
        <f t="shared" si="12"/>
        <v>4680</v>
      </c>
      <c r="H75" s="81">
        <v>65</v>
      </c>
      <c r="I75" s="82"/>
      <c r="J75" s="31"/>
      <c r="K75" s="32"/>
      <c r="L75" s="33">
        <v>0</v>
      </c>
      <c r="M75" s="34">
        <v>65</v>
      </c>
      <c r="N75" s="35"/>
      <c r="O75" s="36"/>
      <c r="P75" s="37">
        <f t="shared" si="1"/>
        <v>65</v>
      </c>
    </row>
    <row r="76" spans="1:16" ht="14.25">
      <c r="A76" s="22">
        <v>74</v>
      </c>
      <c r="B76" s="83" t="s">
        <v>121</v>
      </c>
      <c r="C76" s="76" t="s">
        <v>20</v>
      </c>
      <c r="D76" s="77" t="s">
        <v>122</v>
      </c>
      <c r="E76" s="78"/>
      <c r="F76" s="79">
        <v>980</v>
      </c>
      <c r="G76" s="80">
        <f t="shared" si="12"/>
        <v>65660</v>
      </c>
      <c r="H76" s="81">
        <v>67</v>
      </c>
      <c r="I76" s="82">
        <v>6665</v>
      </c>
      <c r="J76" s="31"/>
      <c r="K76" s="32"/>
      <c r="L76" s="33">
        <v>5000</v>
      </c>
      <c r="M76" s="34"/>
      <c r="N76" s="35">
        <v>1665</v>
      </c>
      <c r="O76" s="36"/>
      <c r="P76" s="37">
        <f t="shared" si="1"/>
        <v>6665</v>
      </c>
    </row>
    <row r="77" spans="1:16" ht="28.5">
      <c r="A77" s="22">
        <v>75</v>
      </c>
      <c r="B77" s="75" t="s">
        <v>123</v>
      </c>
      <c r="C77" s="76"/>
      <c r="D77" s="84" t="s">
        <v>124</v>
      </c>
      <c r="E77" s="78"/>
      <c r="F77" s="79">
        <v>37</v>
      </c>
      <c r="G77" s="80">
        <f t="shared" si="12"/>
        <v>4403</v>
      </c>
      <c r="H77" s="81">
        <v>119</v>
      </c>
      <c r="I77" s="85"/>
      <c r="J77" s="59"/>
      <c r="K77" s="57"/>
      <c r="L77" s="33">
        <f t="shared" ref="L77:L78" si="13">275-100-50-50</f>
        <v>75</v>
      </c>
      <c r="M77" s="34">
        <v>26</v>
      </c>
      <c r="N77" s="43">
        <v>18</v>
      </c>
      <c r="O77" s="66"/>
      <c r="P77" s="37">
        <f t="shared" si="1"/>
        <v>119</v>
      </c>
    </row>
    <row r="78" spans="1:16" ht="28.5">
      <c r="A78" s="22">
        <v>76</v>
      </c>
      <c r="B78" s="75" t="s">
        <v>125</v>
      </c>
      <c r="C78" s="76"/>
      <c r="D78" s="84" t="s">
        <v>124</v>
      </c>
      <c r="E78" s="78"/>
      <c r="F78" s="79">
        <v>39</v>
      </c>
      <c r="G78" s="80">
        <f t="shared" si="12"/>
        <v>4602</v>
      </c>
      <c r="H78" s="81">
        <v>118</v>
      </c>
      <c r="I78" s="85"/>
      <c r="J78" s="59"/>
      <c r="K78" s="57"/>
      <c r="L78" s="33">
        <f t="shared" si="13"/>
        <v>75</v>
      </c>
      <c r="M78" s="34">
        <v>26</v>
      </c>
      <c r="N78" s="43">
        <v>17</v>
      </c>
      <c r="O78" s="66"/>
      <c r="P78" s="37">
        <f t="shared" si="1"/>
        <v>118</v>
      </c>
    </row>
    <row r="79" spans="1:16" ht="28.5">
      <c r="A79" s="22">
        <v>77</v>
      </c>
      <c r="B79" s="75" t="s">
        <v>126</v>
      </c>
      <c r="C79" s="76"/>
      <c r="D79" s="84" t="s">
        <v>124</v>
      </c>
      <c r="E79" s="78">
        <v>46235</v>
      </c>
      <c r="F79" s="79">
        <v>37</v>
      </c>
      <c r="G79" s="80">
        <f t="shared" si="12"/>
        <v>1739</v>
      </c>
      <c r="H79" s="81">
        <v>47</v>
      </c>
      <c r="I79" s="85"/>
      <c r="J79" s="59"/>
      <c r="K79" s="57"/>
      <c r="L79" s="33"/>
      <c r="M79" s="34">
        <v>22</v>
      </c>
      <c r="N79" s="43">
        <v>25</v>
      </c>
      <c r="O79" s="66"/>
      <c r="P79" s="37">
        <f t="shared" si="1"/>
        <v>47</v>
      </c>
    </row>
    <row r="80" spans="1:16" ht="28.5">
      <c r="A80" s="22">
        <v>78</v>
      </c>
      <c r="B80" s="75" t="s">
        <v>127</v>
      </c>
      <c r="C80" s="76"/>
      <c r="D80" s="84" t="s">
        <v>128</v>
      </c>
      <c r="E80" s="86">
        <v>46327</v>
      </c>
      <c r="F80" s="79">
        <v>85</v>
      </c>
      <c r="G80" s="80">
        <f t="shared" si="12"/>
        <v>8160</v>
      </c>
      <c r="H80" s="81">
        <v>96</v>
      </c>
      <c r="I80" s="85"/>
      <c r="J80" s="59"/>
      <c r="K80" s="57"/>
      <c r="L80" s="33"/>
      <c r="M80" s="34">
        <v>46</v>
      </c>
      <c r="N80" s="43">
        <v>50</v>
      </c>
      <c r="O80" s="66"/>
      <c r="P80" s="37">
        <f t="shared" si="1"/>
        <v>96</v>
      </c>
    </row>
    <row r="81" spans="1:16" ht="28.5">
      <c r="A81" s="22">
        <v>79</v>
      </c>
      <c r="B81" s="75" t="s">
        <v>129</v>
      </c>
      <c r="C81" s="76"/>
      <c r="D81" s="84" t="s">
        <v>130</v>
      </c>
      <c r="E81" s="78"/>
      <c r="F81" s="79">
        <v>40</v>
      </c>
      <c r="G81" s="80">
        <f t="shared" si="12"/>
        <v>16480</v>
      </c>
      <c r="H81" s="81">
        <v>412</v>
      </c>
      <c r="I81" s="85"/>
      <c r="J81" s="59"/>
      <c r="K81" s="57"/>
      <c r="L81" s="33">
        <f>480-80-320</f>
        <v>80</v>
      </c>
      <c r="M81" s="34">
        <v>298</v>
      </c>
      <c r="N81" s="43">
        <v>34</v>
      </c>
      <c r="O81" s="66"/>
      <c r="P81" s="37">
        <f t="shared" si="1"/>
        <v>412</v>
      </c>
    </row>
    <row r="82" spans="1:16" ht="28.5">
      <c r="A82" s="22">
        <v>80</v>
      </c>
      <c r="B82" s="75" t="s">
        <v>131</v>
      </c>
      <c r="C82" s="76"/>
      <c r="D82" s="87"/>
      <c r="E82" s="78"/>
      <c r="F82" s="81">
        <v>2.8</v>
      </c>
      <c r="G82" s="80">
        <f t="shared" si="12"/>
        <v>658</v>
      </c>
      <c r="H82" s="81">
        <v>235</v>
      </c>
      <c r="I82" s="85"/>
      <c r="J82" s="59"/>
      <c r="K82" s="57"/>
      <c r="L82" s="33"/>
      <c r="M82" s="34"/>
      <c r="N82" s="43">
        <v>235</v>
      </c>
      <c r="O82" s="66"/>
      <c r="P82" s="37">
        <f t="shared" si="1"/>
        <v>235</v>
      </c>
    </row>
    <row r="83" spans="1:16" ht="28.5">
      <c r="A83" s="38">
        <v>81</v>
      </c>
      <c r="B83" s="75" t="s">
        <v>132</v>
      </c>
      <c r="C83" s="76"/>
      <c r="D83" s="87"/>
      <c r="E83" s="78"/>
      <c r="F83" s="81">
        <v>16.03</v>
      </c>
      <c r="G83" s="80">
        <f t="shared" si="12"/>
        <v>1603</v>
      </c>
      <c r="H83" s="81">
        <v>100</v>
      </c>
      <c r="I83" s="85"/>
      <c r="J83" s="59"/>
      <c r="K83" s="57"/>
      <c r="L83" s="33"/>
      <c r="M83" s="34">
        <v>100</v>
      </c>
      <c r="N83" s="43"/>
      <c r="O83" s="66"/>
      <c r="P83" s="37">
        <f t="shared" si="1"/>
        <v>100</v>
      </c>
    </row>
    <row r="84" spans="1:16" ht="28.5">
      <c r="A84" s="22">
        <v>82</v>
      </c>
      <c r="B84" s="75" t="s">
        <v>133</v>
      </c>
      <c r="C84" s="76"/>
      <c r="D84" s="84" t="s">
        <v>134</v>
      </c>
      <c r="E84" s="78"/>
      <c r="F84" s="81">
        <v>87</v>
      </c>
      <c r="G84" s="80">
        <f t="shared" si="12"/>
        <v>68643</v>
      </c>
      <c r="H84" s="81">
        <v>789</v>
      </c>
      <c r="I84" s="85"/>
      <c r="J84" s="59"/>
      <c r="K84" s="57"/>
      <c r="L84" s="33"/>
      <c r="M84" s="34">
        <v>789</v>
      </c>
      <c r="N84" s="43"/>
      <c r="O84" s="66"/>
      <c r="P84" s="37">
        <f t="shared" si="1"/>
        <v>789</v>
      </c>
    </row>
    <row r="85" spans="1:16" ht="57">
      <c r="A85" s="22">
        <v>83</v>
      </c>
      <c r="B85" s="75" t="s">
        <v>135</v>
      </c>
      <c r="C85" s="76" t="s">
        <v>118</v>
      </c>
      <c r="D85" s="87"/>
      <c r="E85" s="78">
        <v>46357</v>
      </c>
      <c r="F85" s="81">
        <v>2.8</v>
      </c>
      <c r="G85" s="80">
        <f t="shared" si="12"/>
        <v>1400</v>
      </c>
      <c r="H85" s="81">
        <v>500</v>
      </c>
      <c r="I85" s="85"/>
      <c r="J85" s="59"/>
      <c r="K85" s="57"/>
      <c r="L85" s="33">
        <f>10*50</f>
        <v>500</v>
      </c>
      <c r="M85" s="34"/>
      <c r="N85" s="43"/>
      <c r="O85" s="66"/>
      <c r="P85" s="37">
        <f t="shared" si="1"/>
        <v>500</v>
      </c>
    </row>
    <row r="86" spans="1:16" ht="28.5">
      <c r="A86" s="22">
        <v>84</v>
      </c>
      <c r="B86" s="88" t="s">
        <v>136</v>
      </c>
      <c r="C86" s="76" t="s">
        <v>118</v>
      </c>
      <c r="D86" s="87"/>
      <c r="E86" s="78">
        <v>46327</v>
      </c>
      <c r="F86" s="81">
        <v>1.55</v>
      </c>
      <c r="G86" s="80">
        <f t="shared" si="12"/>
        <v>1302</v>
      </c>
      <c r="H86" s="81">
        <v>840</v>
      </c>
      <c r="I86" s="85"/>
      <c r="J86" s="59"/>
      <c r="K86" s="57"/>
      <c r="L86" s="33">
        <v>0</v>
      </c>
      <c r="M86" s="34">
        <v>840</v>
      </c>
      <c r="N86" s="43"/>
      <c r="O86" s="36"/>
      <c r="P86" s="37">
        <f t="shared" si="1"/>
        <v>840</v>
      </c>
    </row>
    <row r="87" spans="1:16" ht="28.5">
      <c r="A87" s="22">
        <v>85</v>
      </c>
      <c r="B87" s="75" t="s">
        <v>137</v>
      </c>
      <c r="C87" s="76" t="s">
        <v>118</v>
      </c>
      <c r="D87" s="87"/>
      <c r="E87" s="78">
        <v>46023</v>
      </c>
      <c r="F87" s="81">
        <v>15.94</v>
      </c>
      <c r="G87" s="89">
        <f t="shared" si="12"/>
        <v>223.16</v>
      </c>
      <c r="H87" s="81">
        <v>14</v>
      </c>
      <c r="I87" s="85"/>
      <c r="J87" s="59"/>
      <c r="K87" s="57"/>
      <c r="L87" s="33">
        <v>0</v>
      </c>
      <c r="M87" s="34">
        <v>14</v>
      </c>
      <c r="N87" s="43"/>
      <c r="O87" s="36"/>
      <c r="P87" s="37">
        <f t="shared" si="1"/>
        <v>14</v>
      </c>
    </row>
    <row r="88" spans="1:16" ht="14.25">
      <c r="A88" s="22">
        <v>86</v>
      </c>
      <c r="B88" s="90" t="s">
        <v>138</v>
      </c>
      <c r="C88" s="76" t="s">
        <v>118</v>
      </c>
      <c r="D88" s="87"/>
      <c r="E88" s="78">
        <v>46023</v>
      </c>
      <c r="F88" s="81">
        <v>31.55</v>
      </c>
      <c r="G88" s="80">
        <f t="shared" si="12"/>
        <v>63.1</v>
      </c>
      <c r="H88" s="81">
        <v>2</v>
      </c>
      <c r="I88" s="85"/>
      <c r="J88" s="59"/>
      <c r="K88" s="57"/>
      <c r="L88" s="33">
        <v>0</v>
      </c>
      <c r="M88" s="34">
        <v>2</v>
      </c>
      <c r="N88" s="35"/>
      <c r="O88" s="36"/>
      <c r="P88" s="37">
        <f t="shared" si="1"/>
        <v>2</v>
      </c>
    </row>
    <row r="89" spans="1:16" ht="14.25">
      <c r="A89" s="22">
        <v>87</v>
      </c>
      <c r="B89" s="90" t="s">
        <v>139</v>
      </c>
      <c r="C89" s="76" t="s">
        <v>118</v>
      </c>
      <c r="D89" s="87"/>
      <c r="E89" s="78">
        <v>46023</v>
      </c>
      <c r="F89" s="81">
        <v>53.39</v>
      </c>
      <c r="G89" s="80">
        <f t="shared" si="12"/>
        <v>53.39</v>
      </c>
      <c r="H89" s="81">
        <v>1</v>
      </c>
      <c r="I89" s="85"/>
      <c r="J89" s="59"/>
      <c r="K89" s="57"/>
      <c r="L89" s="33">
        <v>0</v>
      </c>
      <c r="M89" s="34">
        <v>1</v>
      </c>
      <c r="N89" s="35"/>
      <c r="O89" s="36"/>
      <c r="P89" s="37">
        <f t="shared" si="1"/>
        <v>1</v>
      </c>
    </row>
    <row r="90" spans="1:16" ht="42.75">
      <c r="A90" s="22">
        <v>88</v>
      </c>
      <c r="B90" s="90" t="s">
        <v>140</v>
      </c>
      <c r="C90" s="76" t="s">
        <v>118</v>
      </c>
      <c r="D90" s="87"/>
      <c r="E90" s="78">
        <v>46357</v>
      </c>
      <c r="F90" s="79">
        <v>5</v>
      </c>
      <c r="G90" s="80">
        <f t="shared" si="12"/>
        <v>115</v>
      </c>
      <c r="H90" s="81">
        <v>23</v>
      </c>
      <c r="I90" s="91"/>
      <c r="J90" s="59"/>
      <c r="K90" s="59"/>
      <c r="L90" s="45">
        <v>0</v>
      </c>
      <c r="M90" s="34">
        <v>13</v>
      </c>
      <c r="N90" s="35">
        <v>10</v>
      </c>
      <c r="O90" s="36"/>
      <c r="P90" s="37">
        <f t="shared" si="1"/>
        <v>23</v>
      </c>
    </row>
    <row r="91" spans="1:16" ht="28.5">
      <c r="A91" s="22">
        <v>89</v>
      </c>
      <c r="B91" s="90" t="s">
        <v>141</v>
      </c>
      <c r="C91" s="92" t="s">
        <v>118</v>
      </c>
      <c r="D91" s="87"/>
      <c r="E91" s="78"/>
      <c r="F91" s="81">
        <v>7.46</v>
      </c>
      <c r="G91" s="80">
        <f t="shared" si="12"/>
        <v>141.74</v>
      </c>
      <c r="H91" s="81">
        <v>19</v>
      </c>
      <c r="I91" s="91"/>
      <c r="J91" s="31"/>
      <c r="K91" s="32"/>
      <c r="L91" s="33">
        <v>17</v>
      </c>
      <c r="M91" s="34"/>
      <c r="N91" s="35">
        <v>2</v>
      </c>
      <c r="O91" s="36"/>
      <c r="P91" s="37">
        <f t="shared" si="1"/>
        <v>19</v>
      </c>
    </row>
    <row r="92" spans="1:16" ht="28.5">
      <c r="A92" s="38">
        <v>90</v>
      </c>
      <c r="B92" s="90" t="s">
        <v>141</v>
      </c>
      <c r="C92" s="92" t="s">
        <v>118</v>
      </c>
      <c r="D92" s="87"/>
      <c r="E92" s="78"/>
      <c r="F92" s="81">
        <v>7.58</v>
      </c>
      <c r="G92" s="80">
        <f t="shared" si="12"/>
        <v>7.58</v>
      </c>
      <c r="H92" s="81">
        <v>1</v>
      </c>
      <c r="I92" s="91"/>
      <c r="J92" s="31"/>
      <c r="K92" s="32"/>
      <c r="L92" s="33">
        <v>0</v>
      </c>
      <c r="M92" s="34">
        <v>0</v>
      </c>
      <c r="N92" s="35">
        <v>1</v>
      </c>
      <c r="O92" s="36"/>
      <c r="P92" s="37">
        <f t="shared" si="1"/>
        <v>1</v>
      </c>
    </row>
    <row r="93" spans="1:16" ht="28.5">
      <c r="A93" s="22">
        <v>91</v>
      </c>
      <c r="B93" s="93" t="s">
        <v>142</v>
      </c>
      <c r="C93" s="92" t="s">
        <v>118</v>
      </c>
      <c r="D93" s="87"/>
      <c r="E93" s="78">
        <v>47939</v>
      </c>
      <c r="F93" s="81">
        <v>8.24</v>
      </c>
      <c r="G93" s="80">
        <f t="shared" si="12"/>
        <v>173.04</v>
      </c>
      <c r="H93" s="81">
        <v>21</v>
      </c>
      <c r="I93" s="91"/>
      <c r="J93" s="31"/>
      <c r="K93" s="32"/>
      <c r="L93" s="33">
        <v>20</v>
      </c>
      <c r="M93" s="34">
        <v>1</v>
      </c>
      <c r="N93" s="35"/>
      <c r="O93" s="36"/>
      <c r="P93" s="37">
        <f t="shared" si="1"/>
        <v>21</v>
      </c>
    </row>
    <row r="94" spans="1:16" ht="28.5">
      <c r="A94" s="22">
        <v>92</v>
      </c>
      <c r="B94" s="94" t="s">
        <v>143</v>
      </c>
      <c r="C94" s="76" t="s">
        <v>118</v>
      </c>
      <c r="D94" s="87"/>
      <c r="E94" s="78">
        <v>64193</v>
      </c>
      <c r="F94" s="81">
        <v>21.2</v>
      </c>
      <c r="G94" s="80">
        <f t="shared" si="12"/>
        <v>2332</v>
      </c>
      <c r="H94" s="81">
        <v>110</v>
      </c>
      <c r="I94" s="91"/>
      <c r="J94" s="31"/>
      <c r="K94" s="32"/>
      <c r="L94" s="45">
        <v>110</v>
      </c>
      <c r="M94" s="34"/>
      <c r="N94" s="43"/>
      <c r="O94" s="36"/>
      <c r="P94" s="37">
        <f t="shared" si="1"/>
        <v>110</v>
      </c>
    </row>
    <row r="95" spans="1:16" ht="28.5">
      <c r="A95" s="38">
        <v>93</v>
      </c>
      <c r="B95" s="94" t="s">
        <v>144</v>
      </c>
      <c r="C95" s="76" t="s">
        <v>118</v>
      </c>
      <c r="D95" s="87"/>
      <c r="E95" s="78">
        <v>46447</v>
      </c>
      <c r="F95" s="81">
        <v>11.15</v>
      </c>
      <c r="G95" s="89">
        <f t="shared" si="12"/>
        <v>735.9</v>
      </c>
      <c r="H95" s="81">
        <v>66</v>
      </c>
      <c r="I95" s="91"/>
      <c r="J95" s="31"/>
      <c r="K95" s="32"/>
      <c r="L95" s="45">
        <f>80-20-10</f>
        <v>50</v>
      </c>
      <c r="M95" s="34">
        <v>9</v>
      </c>
      <c r="N95" s="43">
        <v>7</v>
      </c>
      <c r="O95" s="36"/>
      <c r="P95" s="37">
        <f t="shared" si="1"/>
        <v>66</v>
      </c>
    </row>
    <row r="96" spans="1:16" ht="42.75">
      <c r="A96" s="22">
        <v>94</v>
      </c>
      <c r="B96" s="94" t="s">
        <v>145</v>
      </c>
      <c r="C96" s="76" t="s">
        <v>118</v>
      </c>
      <c r="D96" s="84" t="s">
        <v>122</v>
      </c>
      <c r="E96" s="78"/>
      <c r="F96" s="81">
        <v>3.75</v>
      </c>
      <c r="G96" s="80">
        <f t="shared" si="12"/>
        <v>975</v>
      </c>
      <c r="H96" s="81">
        <v>260</v>
      </c>
      <c r="I96" s="91"/>
      <c r="J96" s="31"/>
      <c r="K96" s="32"/>
      <c r="L96" s="33">
        <v>0</v>
      </c>
      <c r="M96" s="34"/>
      <c r="N96" s="43">
        <v>260</v>
      </c>
      <c r="O96" s="36"/>
      <c r="P96" s="37">
        <f t="shared" si="1"/>
        <v>260</v>
      </c>
    </row>
    <row r="97" spans="1:16" ht="28.5">
      <c r="A97" s="22">
        <v>95</v>
      </c>
      <c r="B97" s="94" t="s">
        <v>146</v>
      </c>
      <c r="C97" s="76" t="s">
        <v>118</v>
      </c>
      <c r="D97" s="84"/>
      <c r="E97" s="78">
        <v>46235</v>
      </c>
      <c r="F97" s="81">
        <v>3.8519999999999999</v>
      </c>
      <c r="G97" s="80">
        <f t="shared" si="12"/>
        <v>5970.5999999999995</v>
      </c>
      <c r="H97" s="81">
        <v>1550</v>
      </c>
      <c r="I97" s="91"/>
      <c r="J97" s="31"/>
      <c r="K97" s="32"/>
      <c r="L97" s="33">
        <v>1300</v>
      </c>
      <c r="M97" s="34"/>
      <c r="N97" s="43">
        <v>250</v>
      </c>
      <c r="O97" s="36"/>
      <c r="P97" s="37">
        <f t="shared" si="1"/>
        <v>1550</v>
      </c>
    </row>
    <row r="98" spans="1:16" ht="28.5">
      <c r="A98" s="22">
        <v>96</v>
      </c>
      <c r="B98" s="94" t="s">
        <v>147</v>
      </c>
      <c r="C98" s="76" t="s">
        <v>118</v>
      </c>
      <c r="D98" s="84" t="s">
        <v>148</v>
      </c>
      <c r="E98" s="78"/>
      <c r="F98" s="81">
        <v>0.33</v>
      </c>
      <c r="G98" s="80">
        <f t="shared" si="12"/>
        <v>0</v>
      </c>
      <c r="H98" s="81">
        <v>0</v>
      </c>
      <c r="I98" s="91"/>
      <c r="J98" s="31"/>
      <c r="K98" s="32"/>
      <c r="L98" s="33">
        <v>0</v>
      </c>
      <c r="M98" s="34">
        <v>0</v>
      </c>
      <c r="N98" s="43"/>
      <c r="O98" s="36"/>
      <c r="P98" s="37">
        <f t="shared" si="1"/>
        <v>0</v>
      </c>
    </row>
    <row r="99" spans="1:16" ht="28.5">
      <c r="A99" s="22">
        <v>97</v>
      </c>
      <c r="B99" s="94" t="s">
        <v>149</v>
      </c>
      <c r="C99" s="76" t="s">
        <v>118</v>
      </c>
      <c r="D99" s="84"/>
      <c r="E99" s="78">
        <v>47574</v>
      </c>
      <c r="F99" s="81">
        <v>2.2469999999999999</v>
      </c>
      <c r="G99" s="80">
        <f t="shared" si="12"/>
        <v>6741</v>
      </c>
      <c r="H99" s="81">
        <v>3000</v>
      </c>
      <c r="I99" s="95"/>
      <c r="J99" s="96"/>
      <c r="K99" s="32"/>
      <c r="L99" s="33">
        <v>3000</v>
      </c>
      <c r="M99" s="34"/>
      <c r="N99" s="35"/>
      <c r="O99" s="36"/>
      <c r="P99" s="37">
        <f t="shared" si="1"/>
        <v>3000</v>
      </c>
    </row>
    <row r="100" spans="1:16" ht="28.5">
      <c r="A100" s="22">
        <v>98</v>
      </c>
      <c r="B100" s="94" t="s">
        <v>150</v>
      </c>
      <c r="C100" s="76" t="s">
        <v>20</v>
      </c>
      <c r="D100" s="84" t="s">
        <v>151</v>
      </c>
      <c r="E100" s="78">
        <v>46600</v>
      </c>
      <c r="F100" s="81">
        <v>74.900000000000006</v>
      </c>
      <c r="G100" s="80">
        <f t="shared" si="12"/>
        <v>749</v>
      </c>
      <c r="H100" s="81">
        <v>10</v>
      </c>
      <c r="I100" s="95">
        <v>2000</v>
      </c>
      <c r="J100" s="96"/>
      <c r="K100" s="32"/>
      <c r="L100" s="33">
        <f>2000-1000</f>
        <v>1000</v>
      </c>
      <c r="M100" s="34">
        <v>1000</v>
      </c>
      <c r="N100" s="35"/>
      <c r="O100" s="36"/>
      <c r="P100" s="37">
        <f t="shared" si="1"/>
        <v>2000</v>
      </c>
    </row>
    <row r="101" spans="1:16" ht="14.25">
      <c r="A101" s="22">
        <v>99</v>
      </c>
      <c r="B101" s="94" t="s">
        <v>152</v>
      </c>
      <c r="C101" s="76" t="s">
        <v>118</v>
      </c>
      <c r="D101" s="84"/>
      <c r="E101" s="78"/>
      <c r="F101" s="81">
        <v>57.37</v>
      </c>
      <c r="G101" s="89">
        <f t="shared" si="12"/>
        <v>2294.7999999999997</v>
      </c>
      <c r="H101" s="81">
        <v>40</v>
      </c>
      <c r="I101" s="95"/>
      <c r="J101" s="96"/>
      <c r="K101" s="32"/>
      <c r="L101" s="33">
        <v>40</v>
      </c>
      <c r="M101" s="34">
        <v>1</v>
      </c>
      <c r="N101" s="35"/>
      <c r="O101" s="36"/>
      <c r="P101" s="37">
        <f t="shared" si="1"/>
        <v>41</v>
      </c>
    </row>
    <row r="102" spans="1:16" ht="14.25">
      <c r="A102" s="22">
        <v>100</v>
      </c>
      <c r="B102" s="94" t="s">
        <v>153</v>
      </c>
      <c r="C102" s="76" t="s">
        <v>118</v>
      </c>
      <c r="D102" s="84"/>
      <c r="E102" s="78">
        <v>45992</v>
      </c>
      <c r="F102" s="81">
        <v>0.48</v>
      </c>
      <c r="G102" s="80">
        <f t="shared" si="12"/>
        <v>1024.8</v>
      </c>
      <c r="H102" s="81">
        <v>2135</v>
      </c>
      <c r="I102" s="95"/>
      <c r="J102" s="96"/>
      <c r="K102" s="32"/>
      <c r="L102" s="33">
        <f>150*100-90*100-60*100</f>
        <v>0</v>
      </c>
      <c r="M102" s="34">
        <v>0</v>
      </c>
      <c r="N102" s="35">
        <v>2135</v>
      </c>
      <c r="O102" s="36"/>
      <c r="P102" s="37">
        <f t="shared" si="1"/>
        <v>2135</v>
      </c>
    </row>
    <row r="103" spans="1:16" ht="28.5">
      <c r="A103" s="22">
        <v>101</v>
      </c>
      <c r="B103" s="94" t="s">
        <v>154</v>
      </c>
      <c r="C103" s="76" t="s">
        <v>20</v>
      </c>
      <c r="D103" s="84" t="s">
        <v>122</v>
      </c>
      <c r="E103" s="78">
        <v>45992</v>
      </c>
      <c r="F103" s="79">
        <v>45</v>
      </c>
      <c r="G103" s="80">
        <f t="shared" si="12"/>
        <v>45</v>
      </c>
      <c r="H103" s="81">
        <v>1</v>
      </c>
      <c r="I103" s="85">
        <v>53</v>
      </c>
      <c r="J103" s="31"/>
      <c r="K103" s="32"/>
      <c r="L103" s="33">
        <v>0</v>
      </c>
      <c r="M103" s="34">
        <v>53</v>
      </c>
      <c r="N103" s="35"/>
      <c r="O103" s="36"/>
      <c r="P103" s="37">
        <f t="shared" si="1"/>
        <v>53</v>
      </c>
    </row>
    <row r="104" spans="1:16" ht="28.5">
      <c r="A104" s="38">
        <v>102</v>
      </c>
      <c r="B104" s="94" t="s">
        <v>155</v>
      </c>
      <c r="C104" s="76" t="s">
        <v>20</v>
      </c>
      <c r="D104" s="84" t="s">
        <v>122</v>
      </c>
      <c r="E104" s="78">
        <v>47270</v>
      </c>
      <c r="F104" s="79">
        <v>49</v>
      </c>
      <c r="G104" s="80">
        <f t="shared" si="12"/>
        <v>4410</v>
      </c>
      <c r="H104" s="81">
        <v>90</v>
      </c>
      <c r="I104" s="85">
        <v>9000</v>
      </c>
      <c r="J104" s="31"/>
      <c r="K104" s="32"/>
      <c r="L104" s="33">
        <f>100*100-10*100-20*100</f>
        <v>7000</v>
      </c>
      <c r="M104" s="34">
        <v>2000</v>
      </c>
      <c r="N104" s="35"/>
      <c r="O104" s="36"/>
      <c r="P104" s="37">
        <f t="shared" si="1"/>
        <v>9000</v>
      </c>
    </row>
    <row r="105" spans="1:16" ht="42.75">
      <c r="A105" s="22">
        <v>103</v>
      </c>
      <c r="B105" s="94" t="s">
        <v>156</v>
      </c>
      <c r="C105" s="76" t="s">
        <v>157</v>
      </c>
      <c r="D105" s="84"/>
      <c r="E105" s="78">
        <v>46388</v>
      </c>
      <c r="F105" s="81">
        <v>9.75</v>
      </c>
      <c r="G105" s="80">
        <f t="shared" si="12"/>
        <v>0</v>
      </c>
      <c r="H105" s="81">
        <v>0</v>
      </c>
      <c r="I105" s="97"/>
      <c r="J105" s="31"/>
      <c r="K105" s="32"/>
      <c r="L105" s="33">
        <v>0</v>
      </c>
      <c r="M105" s="34">
        <v>0</v>
      </c>
      <c r="N105" s="35">
        <v>0</v>
      </c>
      <c r="O105" s="36"/>
      <c r="P105" s="37">
        <f t="shared" si="1"/>
        <v>0</v>
      </c>
    </row>
    <row r="106" spans="1:16" ht="31.5" customHeight="1">
      <c r="A106" s="22">
        <v>104</v>
      </c>
      <c r="B106" s="98" t="s">
        <v>158</v>
      </c>
      <c r="C106" s="76" t="s">
        <v>157</v>
      </c>
      <c r="D106" s="87"/>
      <c r="E106" s="86">
        <v>47331</v>
      </c>
      <c r="F106" s="79">
        <v>6.89</v>
      </c>
      <c r="G106" s="80">
        <f t="shared" si="12"/>
        <v>16308.63</v>
      </c>
      <c r="H106" s="81">
        <v>2367</v>
      </c>
      <c r="I106" s="91"/>
      <c r="J106" s="59"/>
      <c r="K106" s="57"/>
      <c r="L106" s="33">
        <f>3009-600-609-400</f>
        <v>1400</v>
      </c>
      <c r="M106" s="34">
        <v>387</v>
      </c>
      <c r="N106" s="35">
        <v>580</v>
      </c>
      <c r="O106" s="36"/>
      <c r="P106" s="37">
        <f t="shared" si="1"/>
        <v>2367</v>
      </c>
    </row>
    <row r="107" spans="1:16" ht="31.5" customHeight="1">
      <c r="A107" s="22">
        <v>105</v>
      </c>
      <c r="B107" s="99" t="s">
        <v>159</v>
      </c>
      <c r="C107" s="76" t="s">
        <v>157</v>
      </c>
      <c r="D107" s="87"/>
      <c r="E107" s="86">
        <v>46327</v>
      </c>
      <c r="F107" s="79">
        <v>5.2</v>
      </c>
      <c r="G107" s="80">
        <f t="shared" si="12"/>
        <v>6624.8</v>
      </c>
      <c r="H107" s="81">
        <v>1274</v>
      </c>
      <c r="I107" s="91"/>
      <c r="J107" s="59"/>
      <c r="K107" s="57"/>
      <c r="L107" s="33">
        <f>4500-1000-500-1000-500-500</f>
        <v>1000</v>
      </c>
      <c r="M107" s="34">
        <v>150</v>
      </c>
      <c r="N107" s="35">
        <v>124</v>
      </c>
      <c r="O107" s="36"/>
      <c r="P107" s="37">
        <f t="shared" si="1"/>
        <v>1274</v>
      </c>
    </row>
    <row r="108" spans="1:16" ht="14.25" hidden="1">
      <c r="A108" s="22"/>
      <c r="B108" s="94"/>
      <c r="C108" s="76"/>
      <c r="D108" s="87"/>
      <c r="E108" s="78"/>
      <c r="F108" s="79"/>
      <c r="G108" s="80"/>
      <c r="H108" s="81"/>
      <c r="I108" s="91"/>
      <c r="J108" s="31"/>
      <c r="K108" s="32"/>
      <c r="L108" s="33"/>
      <c r="M108" s="42"/>
      <c r="N108" s="43"/>
      <c r="O108" s="36"/>
      <c r="P108" s="37"/>
    </row>
    <row r="109" spans="1:16" ht="28.5">
      <c r="A109" s="22">
        <v>106</v>
      </c>
      <c r="B109" s="94" t="s">
        <v>160</v>
      </c>
      <c r="C109" s="76" t="s">
        <v>157</v>
      </c>
      <c r="D109" s="87"/>
      <c r="E109" s="78">
        <v>46357</v>
      </c>
      <c r="F109" s="79">
        <v>1.8855999999999999</v>
      </c>
      <c r="G109" s="80">
        <f t="shared" ref="G109:G146" si="14">F109*H109</f>
        <v>565.67999999999995</v>
      </c>
      <c r="H109" s="81">
        <v>300</v>
      </c>
      <c r="I109" s="91"/>
      <c r="J109" s="31"/>
      <c r="K109" s="32"/>
      <c r="L109" s="33">
        <f>6*50</f>
        <v>300</v>
      </c>
      <c r="M109" s="42">
        <v>0</v>
      </c>
      <c r="N109" s="43">
        <v>0</v>
      </c>
      <c r="O109" s="36"/>
      <c r="P109" s="37">
        <f t="shared" ref="P109:P125" si="15">L109+M109+N109</f>
        <v>300</v>
      </c>
    </row>
    <row r="110" spans="1:16" ht="14.25">
      <c r="A110" s="22">
        <v>107</v>
      </c>
      <c r="B110" s="94" t="s">
        <v>161</v>
      </c>
      <c r="C110" s="76" t="s">
        <v>118</v>
      </c>
      <c r="D110" s="87"/>
      <c r="E110" s="78">
        <v>46023</v>
      </c>
      <c r="F110" s="80">
        <v>1.1000000000000001</v>
      </c>
      <c r="G110" s="80">
        <f t="shared" si="14"/>
        <v>880.00000000000011</v>
      </c>
      <c r="H110" s="81">
        <v>800</v>
      </c>
      <c r="I110" s="91"/>
      <c r="J110" s="31"/>
      <c r="K110" s="32"/>
      <c r="L110" s="33">
        <v>0</v>
      </c>
      <c r="M110" s="42">
        <v>300</v>
      </c>
      <c r="N110" s="43">
        <v>500</v>
      </c>
      <c r="O110" s="36"/>
      <c r="P110" s="37">
        <f t="shared" si="15"/>
        <v>800</v>
      </c>
    </row>
    <row r="111" spans="1:16" ht="28.5">
      <c r="A111" s="22">
        <v>108</v>
      </c>
      <c r="B111" s="100" t="s">
        <v>162</v>
      </c>
      <c r="C111" s="76" t="s">
        <v>118</v>
      </c>
      <c r="D111" s="87"/>
      <c r="E111" s="78">
        <v>46419</v>
      </c>
      <c r="F111" s="79">
        <v>79</v>
      </c>
      <c r="G111" s="80">
        <f t="shared" si="14"/>
        <v>6952</v>
      </c>
      <c r="H111" s="81">
        <v>88</v>
      </c>
      <c r="I111" s="91"/>
      <c r="J111" s="31"/>
      <c r="K111" s="31"/>
      <c r="L111" s="33">
        <v>0</v>
      </c>
      <c r="M111" s="34">
        <v>88</v>
      </c>
      <c r="N111" s="35"/>
      <c r="O111" s="36"/>
      <c r="P111" s="37">
        <f t="shared" si="15"/>
        <v>88</v>
      </c>
    </row>
    <row r="112" spans="1:16" ht="28.5">
      <c r="A112" s="22">
        <v>109</v>
      </c>
      <c r="B112" s="94" t="s">
        <v>163</v>
      </c>
      <c r="C112" s="76" t="s">
        <v>118</v>
      </c>
      <c r="D112" s="87"/>
      <c r="E112" s="78"/>
      <c r="F112" s="79">
        <v>1</v>
      </c>
      <c r="G112" s="80">
        <f t="shared" si="14"/>
        <v>0</v>
      </c>
      <c r="H112" s="81">
        <v>0</v>
      </c>
      <c r="I112" s="85"/>
      <c r="J112" s="96"/>
      <c r="K112" s="32"/>
      <c r="L112" s="45">
        <v>0</v>
      </c>
      <c r="M112" s="34">
        <v>0</v>
      </c>
      <c r="N112" s="43"/>
      <c r="O112" s="36"/>
      <c r="P112" s="37">
        <f t="shared" si="15"/>
        <v>0</v>
      </c>
    </row>
    <row r="113" spans="1:16" ht="14.25">
      <c r="A113" s="38">
        <v>110</v>
      </c>
      <c r="B113" s="94" t="s">
        <v>164</v>
      </c>
      <c r="C113" s="76" t="s">
        <v>118</v>
      </c>
      <c r="D113" s="87"/>
      <c r="E113" s="78">
        <v>47300</v>
      </c>
      <c r="F113" s="81">
        <v>3.1030000000000002</v>
      </c>
      <c r="G113" s="80">
        <f t="shared" si="14"/>
        <v>11729.34</v>
      </c>
      <c r="H113" s="81">
        <v>3780</v>
      </c>
      <c r="I113" s="85"/>
      <c r="J113" s="96"/>
      <c r="K113" s="32"/>
      <c r="L113" s="45">
        <v>0</v>
      </c>
      <c r="M113" s="34"/>
      <c r="N113" s="43">
        <v>3780</v>
      </c>
      <c r="O113" s="36"/>
      <c r="P113" s="37">
        <f t="shared" si="15"/>
        <v>3780</v>
      </c>
    </row>
    <row r="114" spans="1:16" ht="28.5">
      <c r="A114" s="38">
        <v>111</v>
      </c>
      <c r="B114" s="94" t="s">
        <v>165</v>
      </c>
      <c r="C114" s="76" t="s">
        <v>118</v>
      </c>
      <c r="D114" s="87"/>
      <c r="E114" s="78">
        <v>47515</v>
      </c>
      <c r="F114" s="81">
        <v>3.5310000000000001</v>
      </c>
      <c r="G114" s="80">
        <f t="shared" si="14"/>
        <v>176.55</v>
      </c>
      <c r="H114" s="81">
        <v>50</v>
      </c>
      <c r="I114" s="85"/>
      <c r="J114" s="96"/>
      <c r="K114" s="32"/>
      <c r="L114" s="45">
        <v>50</v>
      </c>
      <c r="M114" s="34"/>
      <c r="N114" s="43"/>
      <c r="O114" s="36"/>
      <c r="P114" s="37">
        <f t="shared" si="15"/>
        <v>50</v>
      </c>
    </row>
    <row r="115" spans="1:16" ht="28.5">
      <c r="A115" s="38">
        <v>112</v>
      </c>
      <c r="B115" s="94" t="s">
        <v>166</v>
      </c>
      <c r="C115" s="76" t="s">
        <v>118</v>
      </c>
      <c r="D115" s="87"/>
      <c r="E115" s="78">
        <v>46296</v>
      </c>
      <c r="F115" s="81">
        <v>0.89</v>
      </c>
      <c r="G115" s="80">
        <f t="shared" si="14"/>
        <v>2225</v>
      </c>
      <c r="H115" s="81">
        <v>2500</v>
      </c>
      <c r="I115" s="85"/>
      <c r="J115" s="96"/>
      <c r="K115" s="32"/>
      <c r="L115" s="45">
        <f>2500</f>
        <v>2500</v>
      </c>
      <c r="M115" s="34"/>
      <c r="N115" s="43">
        <v>0</v>
      </c>
      <c r="O115" s="36"/>
      <c r="P115" s="37">
        <f t="shared" si="15"/>
        <v>2500</v>
      </c>
    </row>
    <row r="116" spans="1:16" ht="28.5">
      <c r="A116" s="22">
        <v>113</v>
      </c>
      <c r="B116" s="94" t="s">
        <v>167</v>
      </c>
      <c r="C116" s="76" t="s">
        <v>118</v>
      </c>
      <c r="D116" s="87"/>
      <c r="E116" s="78">
        <v>47453</v>
      </c>
      <c r="F116" s="81">
        <v>1.498</v>
      </c>
      <c r="G116" s="80">
        <f t="shared" si="14"/>
        <v>3939.74</v>
      </c>
      <c r="H116" s="81">
        <v>2630</v>
      </c>
      <c r="I116" s="85"/>
      <c r="J116" s="96"/>
      <c r="K116" s="32"/>
      <c r="L116" s="33">
        <f>3000-500</f>
        <v>2500</v>
      </c>
      <c r="M116" s="34">
        <v>130</v>
      </c>
      <c r="N116" s="35"/>
      <c r="O116" s="36"/>
      <c r="P116" s="37">
        <f t="shared" si="15"/>
        <v>2630</v>
      </c>
    </row>
    <row r="117" spans="1:16" ht="14.25">
      <c r="A117" s="22">
        <v>114</v>
      </c>
      <c r="B117" s="94" t="s">
        <v>168</v>
      </c>
      <c r="C117" s="76" t="s">
        <v>118</v>
      </c>
      <c r="D117" s="87"/>
      <c r="E117" s="78">
        <v>46874</v>
      </c>
      <c r="F117" s="81">
        <v>1.65</v>
      </c>
      <c r="G117" s="89">
        <f t="shared" si="14"/>
        <v>288.75</v>
      </c>
      <c r="H117" s="81">
        <v>175</v>
      </c>
      <c r="I117" s="85"/>
      <c r="J117" s="96"/>
      <c r="K117" s="32"/>
      <c r="L117" s="33">
        <f>2400-1200-1200</f>
        <v>0</v>
      </c>
      <c r="M117" s="34">
        <v>0</v>
      </c>
      <c r="N117" s="35">
        <v>175</v>
      </c>
      <c r="O117" s="36"/>
      <c r="P117" s="37">
        <f t="shared" si="15"/>
        <v>175</v>
      </c>
    </row>
    <row r="118" spans="1:16" ht="28.5">
      <c r="A118" s="22">
        <v>115</v>
      </c>
      <c r="B118" s="94" t="s">
        <v>169</v>
      </c>
      <c r="C118" s="76" t="s">
        <v>118</v>
      </c>
      <c r="D118" s="87"/>
      <c r="E118" s="78"/>
      <c r="F118" s="81">
        <v>11.984</v>
      </c>
      <c r="G118" s="80">
        <f t="shared" si="14"/>
        <v>59.92</v>
      </c>
      <c r="H118" s="81">
        <v>5</v>
      </c>
      <c r="I118" s="91"/>
      <c r="J118" s="31"/>
      <c r="K118" s="32"/>
      <c r="L118" s="33"/>
      <c r="M118" s="34">
        <v>0</v>
      </c>
      <c r="N118" s="35">
        <v>5</v>
      </c>
      <c r="O118" s="36"/>
      <c r="P118" s="37">
        <f t="shared" si="15"/>
        <v>5</v>
      </c>
    </row>
    <row r="119" spans="1:16" ht="14.25">
      <c r="A119" s="38">
        <v>116</v>
      </c>
      <c r="B119" s="94" t="s">
        <v>170</v>
      </c>
      <c r="C119" s="76" t="s">
        <v>118</v>
      </c>
      <c r="D119" s="84"/>
      <c r="E119" s="78"/>
      <c r="F119" s="79">
        <v>6.3558000000000003</v>
      </c>
      <c r="G119" s="80">
        <f t="shared" si="14"/>
        <v>4919.3892000000005</v>
      </c>
      <c r="H119" s="81">
        <v>774</v>
      </c>
      <c r="I119" s="85"/>
      <c r="J119" s="31"/>
      <c r="K119" s="32"/>
      <c r="L119" s="33">
        <v>50</v>
      </c>
      <c r="M119" s="34">
        <v>724</v>
      </c>
      <c r="N119" s="35"/>
      <c r="O119" s="36"/>
      <c r="P119" s="37">
        <f t="shared" si="15"/>
        <v>774</v>
      </c>
    </row>
    <row r="120" spans="1:16" ht="42.75">
      <c r="A120" s="38">
        <v>117</v>
      </c>
      <c r="B120" s="94" t="s">
        <v>171</v>
      </c>
      <c r="C120" s="76" t="s">
        <v>118</v>
      </c>
      <c r="D120" s="84" t="s">
        <v>122</v>
      </c>
      <c r="E120" s="78"/>
      <c r="F120" s="79">
        <v>500</v>
      </c>
      <c r="G120" s="80">
        <f t="shared" si="14"/>
        <v>3500</v>
      </c>
      <c r="H120" s="81">
        <v>7</v>
      </c>
      <c r="I120" s="85">
        <v>602</v>
      </c>
      <c r="J120" s="31"/>
      <c r="K120" s="32"/>
      <c r="L120" s="33">
        <v>0</v>
      </c>
      <c r="M120" s="34">
        <v>602</v>
      </c>
      <c r="N120" s="35"/>
      <c r="O120" s="36"/>
      <c r="P120" s="37">
        <f t="shared" si="15"/>
        <v>602</v>
      </c>
    </row>
    <row r="121" spans="1:16" ht="28.5">
      <c r="A121" s="22">
        <v>118</v>
      </c>
      <c r="B121" s="94" t="s">
        <v>172</v>
      </c>
      <c r="C121" s="76"/>
      <c r="D121" s="84"/>
      <c r="E121" s="78"/>
      <c r="F121" s="79">
        <v>5.8315000000000001</v>
      </c>
      <c r="G121" s="80">
        <f t="shared" si="14"/>
        <v>12012.89</v>
      </c>
      <c r="H121" s="81">
        <v>2060</v>
      </c>
      <c r="I121" s="85"/>
      <c r="J121" s="31"/>
      <c r="K121" s="32"/>
      <c r="L121" s="33">
        <f>2200-1000</f>
        <v>1200</v>
      </c>
      <c r="M121" s="34"/>
      <c r="N121" s="35">
        <v>860</v>
      </c>
      <c r="O121" s="36"/>
      <c r="P121" s="37">
        <f t="shared" si="15"/>
        <v>2060</v>
      </c>
    </row>
    <row r="122" spans="1:16" ht="28.5">
      <c r="A122" s="22">
        <v>119</v>
      </c>
      <c r="B122" s="94" t="s">
        <v>173</v>
      </c>
      <c r="C122" s="76"/>
      <c r="D122" s="84"/>
      <c r="E122" s="78"/>
      <c r="F122" s="79">
        <v>3.21</v>
      </c>
      <c r="G122" s="80">
        <f t="shared" si="14"/>
        <v>22145.79</v>
      </c>
      <c r="H122" s="81">
        <v>6899</v>
      </c>
      <c r="I122" s="85"/>
      <c r="J122" s="31"/>
      <c r="K122" s="32"/>
      <c r="L122" s="33">
        <f>7000-500-100</f>
        <v>6400</v>
      </c>
      <c r="M122" s="34">
        <v>400</v>
      </c>
      <c r="N122" s="35">
        <v>99</v>
      </c>
      <c r="O122" s="36"/>
      <c r="P122" s="37">
        <f t="shared" si="15"/>
        <v>6899</v>
      </c>
    </row>
    <row r="123" spans="1:16" ht="42.75">
      <c r="A123" s="22">
        <v>120</v>
      </c>
      <c r="B123" s="94" t="s">
        <v>174</v>
      </c>
      <c r="C123" s="76" t="s">
        <v>118</v>
      </c>
      <c r="D123" s="84" t="s">
        <v>122</v>
      </c>
      <c r="E123" s="78"/>
      <c r="F123" s="81">
        <v>3.1410999999999998</v>
      </c>
      <c r="G123" s="80">
        <f t="shared" si="14"/>
        <v>0</v>
      </c>
      <c r="H123" s="81">
        <v>0</v>
      </c>
      <c r="I123" s="91"/>
      <c r="J123" s="32"/>
      <c r="K123" s="31"/>
      <c r="L123" s="45">
        <v>0</v>
      </c>
      <c r="M123" s="34">
        <v>0</v>
      </c>
      <c r="N123" s="35">
        <v>0</v>
      </c>
      <c r="O123" s="36"/>
      <c r="P123" s="37">
        <f t="shared" si="15"/>
        <v>0</v>
      </c>
    </row>
    <row r="124" spans="1:16" ht="28.5">
      <c r="A124" s="22">
        <v>121</v>
      </c>
      <c r="B124" s="94" t="s">
        <v>175</v>
      </c>
      <c r="C124" s="76" t="s">
        <v>118</v>
      </c>
      <c r="D124" s="87"/>
      <c r="E124" s="78"/>
      <c r="F124" s="81">
        <v>0.37</v>
      </c>
      <c r="G124" s="80">
        <f t="shared" si="14"/>
        <v>1537.35</v>
      </c>
      <c r="H124" s="81">
        <v>4155</v>
      </c>
      <c r="I124" s="91"/>
      <c r="J124" s="32"/>
      <c r="K124" s="31"/>
      <c r="L124" s="45">
        <f>5000-500-1000</f>
        <v>3500</v>
      </c>
      <c r="M124" s="34">
        <v>300</v>
      </c>
      <c r="N124" s="35">
        <v>355</v>
      </c>
      <c r="O124" s="36"/>
      <c r="P124" s="37">
        <f t="shared" si="15"/>
        <v>4155</v>
      </c>
    </row>
    <row r="125" spans="1:16" ht="14.25">
      <c r="A125" s="22">
        <v>122</v>
      </c>
      <c r="B125" s="94" t="s">
        <v>176</v>
      </c>
      <c r="C125" s="76" t="s">
        <v>118</v>
      </c>
      <c r="D125" s="87"/>
      <c r="E125" s="86">
        <v>45809</v>
      </c>
      <c r="F125" s="81">
        <v>9478.06</v>
      </c>
      <c r="G125" s="80">
        <f t="shared" si="14"/>
        <v>0</v>
      </c>
      <c r="H125" s="81">
        <v>0</v>
      </c>
      <c r="I125" s="85">
        <v>0</v>
      </c>
      <c r="J125" s="31"/>
      <c r="K125" s="32"/>
      <c r="L125" s="101"/>
      <c r="M125" s="34"/>
      <c r="N125" s="43">
        <v>0</v>
      </c>
      <c r="O125" s="36"/>
      <c r="P125" s="37">
        <f t="shared" si="15"/>
        <v>0</v>
      </c>
    </row>
    <row r="126" spans="1:16" ht="42.75">
      <c r="A126" s="22">
        <v>123</v>
      </c>
      <c r="B126" s="102" t="s">
        <v>177</v>
      </c>
      <c r="C126" s="76" t="s">
        <v>118</v>
      </c>
      <c r="D126" s="87"/>
      <c r="E126" s="86"/>
      <c r="F126" s="81">
        <v>2086.5</v>
      </c>
      <c r="G126" s="80">
        <f t="shared" si="14"/>
        <v>2086.5</v>
      </c>
      <c r="H126" s="81">
        <v>1</v>
      </c>
      <c r="I126" s="85"/>
      <c r="J126" s="31"/>
      <c r="K126" s="32"/>
      <c r="L126" s="33">
        <v>0</v>
      </c>
      <c r="M126" s="34"/>
      <c r="N126" s="43">
        <v>1</v>
      </c>
      <c r="O126" s="36"/>
      <c r="P126" s="37"/>
    </row>
    <row r="127" spans="1:16" ht="28.5">
      <c r="A127" s="22">
        <v>124</v>
      </c>
      <c r="B127" s="94" t="s">
        <v>178</v>
      </c>
      <c r="C127" s="76" t="s">
        <v>118</v>
      </c>
      <c r="D127" s="87"/>
      <c r="E127" s="86">
        <v>45809</v>
      </c>
      <c r="F127" s="81">
        <v>7755.56</v>
      </c>
      <c r="G127" s="80">
        <f t="shared" si="14"/>
        <v>7755.56</v>
      </c>
      <c r="H127" s="81">
        <v>1</v>
      </c>
      <c r="I127" s="85">
        <v>0</v>
      </c>
      <c r="J127" s="31"/>
      <c r="K127" s="32"/>
      <c r="L127" s="101"/>
      <c r="M127" s="34"/>
      <c r="N127" s="43">
        <v>1</v>
      </c>
      <c r="O127" s="36"/>
      <c r="P127" s="37">
        <f t="shared" ref="P127:P130" si="16">L127+M127+N127</f>
        <v>1</v>
      </c>
    </row>
    <row r="128" spans="1:16" ht="28.5">
      <c r="A128" s="22">
        <v>125</v>
      </c>
      <c r="B128" s="94" t="s">
        <v>179</v>
      </c>
      <c r="C128" s="76" t="s">
        <v>118</v>
      </c>
      <c r="D128" s="87"/>
      <c r="E128" s="86">
        <v>45748</v>
      </c>
      <c r="F128" s="79">
        <v>1701.3</v>
      </c>
      <c r="G128" s="80">
        <f t="shared" si="14"/>
        <v>3402.6</v>
      </c>
      <c r="H128" s="81">
        <v>2</v>
      </c>
      <c r="I128" s="91"/>
      <c r="J128" s="31"/>
      <c r="K128" s="32"/>
      <c r="L128" s="33">
        <v>0</v>
      </c>
      <c r="M128" s="34"/>
      <c r="N128" s="43">
        <v>2</v>
      </c>
      <c r="O128" s="36"/>
      <c r="P128" s="37">
        <f t="shared" si="16"/>
        <v>2</v>
      </c>
    </row>
    <row r="129" spans="1:16" ht="14.25">
      <c r="A129" s="38">
        <v>126</v>
      </c>
      <c r="B129" s="94" t="s">
        <v>180</v>
      </c>
      <c r="C129" s="76" t="s">
        <v>118</v>
      </c>
      <c r="D129" s="87"/>
      <c r="E129" s="78">
        <v>45870</v>
      </c>
      <c r="F129" s="79">
        <v>2314.41</v>
      </c>
      <c r="G129" s="80">
        <f t="shared" si="14"/>
        <v>2314.41</v>
      </c>
      <c r="H129" s="81">
        <v>1</v>
      </c>
      <c r="I129" s="91"/>
      <c r="J129" s="31"/>
      <c r="K129" s="32"/>
      <c r="L129" s="33">
        <v>0</v>
      </c>
      <c r="M129" s="42"/>
      <c r="N129" s="43">
        <v>1</v>
      </c>
      <c r="O129" s="36"/>
      <c r="P129" s="37">
        <f t="shared" si="16"/>
        <v>1</v>
      </c>
    </row>
    <row r="130" spans="1:16" ht="14.25">
      <c r="A130" s="22">
        <v>127</v>
      </c>
      <c r="B130" s="94" t="s">
        <v>180</v>
      </c>
      <c r="C130" s="76" t="s">
        <v>118</v>
      </c>
      <c r="D130" s="87"/>
      <c r="E130" s="78">
        <v>46174</v>
      </c>
      <c r="F130" s="79">
        <v>2887.93</v>
      </c>
      <c r="G130" s="80">
        <f t="shared" si="14"/>
        <v>11551.72</v>
      </c>
      <c r="H130" s="81">
        <v>4</v>
      </c>
      <c r="I130" s="91"/>
      <c r="J130" s="32"/>
      <c r="K130" s="32"/>
      <c r="L130" s="33">
        <v>0</v>
      </c>
      <c r="M130" s="34"/>
      <c r="N130" s="43">
        <v>4</v>
      </c>
      <c r="O130" s="36"/>
      <c r="P130" s="37">
        <f t="shared" si="16"/>
        <v>4</v>
      </c>
    </row>
    <row r="131" spans="1:16" ht="14.25">
      <c r="A131" s="22">
        <v>128</v>
      </c>
      <c r="B131" s="94" t="s">
        <v>180</v>
      </c>
      <c r="C131" s="76" t="s">
        <v>118</v>
      </c>
      <c r="D131" s="87"/>
      <c r="E131" s="78"/>
      <c r="F131" s="103">
        <v>2699</v>
      </c>
      <c r="G131" s="80">
        <f t="shared" si="14"/>
        <v>0</v>
      </c>
      <c r="H131" s="81">
        <v>0</v>
      </c>
      <c r="I131" s="91"/>
      <c r="J131" s="32"/>
      <c r="K131" s="32"/>
      <c r="L131" s="33">
        <v>0</v>
      </c>
      <c r="M131" s="34"/>
      <c r="N131" s="43"/>
      <c r="O131" s="36"/>
      <c r="P131" s="37"/>
    </row>
    <row r="132" spans="1:16" ht="14.25">
      <c r="A132" s="22">
        <v>129</v>
      </c>
      <c r="B132" s="94" t="s">
        <v>181</v>
      </c>
      <c r="C132" s="76" t="s">
        <v>118</v>
      </c>
      <c r="D132" s="87"/>
      <c r="E132" s="78">
        <v>46692</v>
      </c>
      <c r="F132" s="103">
        <v>1712</v>
      </c>
      <c r="G132" s="80">
        <f t="shared" si="14"/>
        <v>1712</v>
      </c>
      <c r="H132" s="81">
        <v>1</v>
      </c>
      <c r="I132" s="91"/>
      <c r="J132" s="32"/>
      <c r="K132" s="32"/>
      <c r="L132" s="33">
        <v>0</v>
      </c>
      <c r="M132" s="34"/>
      <c r="N132" s="43">
        <v>1</v>
      </c>
      <c r="O132" s="36"/>
      <c r="P132" s="37">
        <f t="shared" ref="P132:P133" si="17">L132+M132+N132</f>
        <v>1</v>
      </c>
    </row>
    <row r="133" spans="1:16" ht="14.25">
      <c r="A133" s="22">
        <v>130</v>
      </c>
      <c r="B133" s="94" t="s">
        <v>182</v>
      </c>
      <c r="C133" s="76" t="s">
        <v>118</v>
      </c>
      <c r="D133" s="87"/>
      <c r="E133" s="78">
        <v>46327</v>
      </c>
      <c r="F133" s="103">
        <v>2573.35</v>
      </c>
      <c r="G133" s="80">
        <f t="shared" si="14"/>
        <v>0</v>
      </c>
      <c r="H133" s="81">
        <v>0</v>
      </c>
      <c r="I133" s="91"/>
      <c r="J133" s="32"/>
      <c r="K133" s="32"/>
      <c r="L133" s="33">
        <v>0</v>
      </c>
      <c r="M133" s="34"/>
      <c r="N133" s="43">
        <v>0</v>
      </c>
      <c r="O133" s="36"/>
      <c r="P133" s="37">
        <f t="shared" si="17"/>
        <v>0</v>
      </c>
    </row>
    <row r="134" spans="1:16" ht="28.5">
      <c r="A134" s="22">
        <v>131</v>
      </c>
      <c r="B134" s="94" t="s">
        <v>183</v>
      </c>
      <c r="C134" s="76" t="s">
        <v>118</v>
      </c>
      <c r="D134" s="87"/>
      <c r="E134" s="78"/>
      <c r="F134" s="103">
        <v>785.38</v>
      </c>
      <c r="G134" s="80">
        <f t="shared" si="14"/>
        <v>1570.76</v>
      </c>
      <c r="H134" s="81">
        <v>2</v>
      </c>
      <c r="I134" s="91"/>
      <c r="J134" s="32"/>
      <c r="K134" s="32"/>
      <c r="L134" s="33"/>
      <c r="M134" s="34"/>
      <c r="N134" s="43">
        <v>2</v>
      </c>
      <c r="O134" s="36"/>
      <c r="P134" s="37"/>
    </row>
    <row r="135" spans="1:16" ht="14.25">
      <c r="A135" s="22">
        <v>132</v>
      </c>
      <c r="B135" s="94" t="s">
        <v>366</v>
      </c>
      <c r="C135" s="76" t="s">
        <v>118</v>
      </c>
      <c r="D135" s="87"/>
      <c r="E135" s="78"/>
      <c r="F135" s="103">
        <v>454.75</v>
      </c>
      <c r="G135" s="80">
        <f t="shared" si="14"/>
        <v>454.75</v>
      </c>
      <c r="H135" s="81">
        <v>1</v>
      </c>
      <c r="I135" s="91"/>
      <c r="J135" s="32"/>
      <c r="K135" s="32"/>
      <c r="L135" s="33"/>
      <c r="M135" s="34"/>
      <c r="N135" s="43">
        <v>1</v>
      </c>
      <c r="O135" s="36"/>
      <c r="P135" s="37"/>
    </row>
    <row r="136" spans="1:16" ht="14.25">
      <c r="A136" s="22">
        <v>133</v>
      </c>
      <c r="B136" s="94" t="s">
        <v>185</v>
      </c>
      <c r="C136" s="76" t="s">
        <v>118</v>
      </c>
      <c r="D136" s="84" t="s">
        <v>186</v>
      </c>
      <c r="E136" s="78">
        <v>46813</v>
      </c>
      <c r="F136" s="79">
        <v>124</v>
      </c>
      <c r="G136" s="80">
        <f t="shared" si="14"/>
        <v>0</v>
      </c>
      <c r="H136" s="81">
        <v>0</v>
      </c>
      <c r="I136" s="85">
        <v>0</v>
      </c>
      <c r="J136" s="31"/>
      <c r="K136" s="31"/>
      <c r="L136" s="33"/>
      <c r="M136" s="34"/>
      <c r="N136" s="35">
        <v>0</v>
      </c>
      <c r="O136" s="104"/>
      <c r="P136" s="37">
        <f t="shared" ref="P136:P147" si="18">L136+M136+N136</f>
        <v>0</v>
      </c>
    </row>
    <row r="137" spans="1:16" ht="14.25">
      <c r="A137" s="22">
        <v>134</v>
      </c>
      <c r="B137" s="94" t="s">
        <v>187</v>
      </c>
      <c r="C137" s="76" t="s">
        <v>118</v>
      </c>
      <c r="D137" s="84" t="s">
        <v>186</v>
      </c>
      <c r="E137" s="78"/>
      <c r="F137" s="79">
        <v>303</v>
      </c>
      <c r="G137" s="80">
        <f t="shared" si="14"/>
        <v>1515</v>
      </c>
      <c r="H137" s="81">
        <v>5</v>
      </c>
      <c r="I137" s="85">
        <v>4270</v>
      </c>
      <c r="J137" s="31"/>
      <c r="K137" s="31"/>
      <c r="L137" s="33"/>
      <c r="M137" s="34"/>
      <c r="N137" s="35">
        <v>4270</v>
      </c>
      <c r="O137" s="104"/>
      <c r="P137" s="37">
        <f t="shared" si="18"/>
        <v>4270</v>
      </c>
    </row>
    <row r="138" spans="1:16" ht="28.5">
      <c r="A138" s="22">
        <v>135</v>
      </c>
      <c r="B138" s="94" t="s">
        <v>188</v>
      </c>
      <c r="C138" s="76" t="s">
        <v>118</v>
      </c>
      <c r="D138" s="84" t="s">
        <v>189</v>
      </c>
      <c r="E138" s="78">
        <v>46813</v>
      </c>
      <c r="F138" s="79">
        <v>153</v>
      </c>
      <c r="G138" s="80">
        <f t="shared" si="14"/>
        <v>612</v>
      </c>
      <c r="H138" s="81">
        <v>4</v>
      </c>
      <c r="I138" s="85">
        <v>1530</v>
      </c>
      <c r="J138" s="31"/>
      <c r="K138" s="31"/>
      <c r="L138" s="33"/>
      <c r="M138" s="34"/>
      <c r="N138" s="35">
        <v>1530</v>
      </c>
      <c r="O138" s="104"/>
      <c r="P138" s="37">
        <f t="shared" si="18"/>
        <v>1530</v>
      </c>
    </row>
    <row r="139" spans="1:16" ht="28.5">
      <c r="A139" s="22">
        <v>136</v>
      </c>
      <c r="B139" s="94" t="s">
        <v>190</v>
      </c>
      <c r="C139" s="76"/>
      <c r="D139" s="84" t="s">
        <v>189</v>
      </c>
      <c r="E139" s="78"/>
      <c r="F139" s="79">
        <v>297</v>
      </c>
      <c r="G139" s="80">
        <f t="shared" si="14"/>
        <v>594</v>
      </c>
      <c r="H139" s="81">
        <v>2</v>
      </c>
      <c r="I139" s="85">
        <v>870</v>
      </c>
      <c r="J139" s="31"/>
      <c r="K139" s="31"/>
      <c r="L139" s="33"/>
      <c r="M139" s="34"/>
      <c r="N139" s="35">
        <v>870</v>
      </c>
      <c r="O139" s="104"/>
      <c r="P139" s="37">
        <f t="shared" si="18"/>
        <v>870</v>
      </c>
    </row>
    <row r="140" spans="1:16" ht="14.25">
      <c r="A140" s="38">
        <v>137</v>
      </c>
      <c r="B140" s="94" t="s">
        <v>191</v>
      </c>
      <c r="C140" s="76" t="s">
        <v>118</v>
      </c>
      <c r="D140" s="87"/>
      <c r="E140" s="78">
        <v>46204</v>
      </c>
      <c r="F140" s="79">
        <v>172</v>
      </c>
      <c r="G140" s="80">
        <f t="shared" si="14"/>
        <v>860</v>
      </c>
      <c r="H140" s="81">
        <v>5</v>
      </c>
      <c r="I140" s="91"/>
      <c r="J140" s="31"/>
      <c r="K140" s="31"/>
      <c r="L140" s="33">
        <v>5</v>
      </c>
      <c r="M140" s="34"/>
      <c r="N140" s="35"/>
      <c r="O140" s="104"/>
      <c r="P140" s="37">
        <f t="shared" si="18"/>
        <v>5</v>
      </c>
    </row>
    <row r="141" spans="1:16" ht="14.25">
      <c r="A141" s="22">
        <v>138</v>
      </c>
      <c r="B141" s="94" t="s">
        <v>192</v>
      </c>
      <c r="C141" s="76" t="s">
        <v>118</v>
      </c>
      <c r="D141" s="84" t="s">
        <v>193</v>
      </c>
      <c r="E141" s="78">
        <v>46204</v>
      </c>
      <c r="F141" s="79">
        <v>212</v>
      </c>
      <c r="G141" s="80">
        <f t="shared" si="14"/>
        <v>2756</v>
      </c>
      <c r="H141" s="81">
        <v>13</v>
      </c>
      <c r="I141" s="91"/>
      <c r="J141" s="31"/>
      <c r="K141" s="32"/>
      <c r="L141" s="33">
        <v>10</v>
      </c>
      <c r="M141" s="34">
        <v>1</v>
      </c>
      <c r="N141" s="35">
        <v>2</v>
      </c>
      <c r="O141" s="105"/>
      <c r="P141" s="37">
        <f t="shared" si="18"/>
        <v>13</v>
      </c>
    </row>
    <row r="142" spans="1:16" ht="14.25">
      <c r="A142" s="38">
        <v>139</v>
      </c>
      <c r="B142" s="94" t="s">
        <v>194</v>
      </c>
      <c r="C142" s="76" t="s">
        <v>118</v>
      </c>
      <c r="D142" s="84" t="s">
        <v>193</v>
      </c>
      <c r="E142" s="78">
        <v>45992</v>
      </c>
      <c r="F142" s="79">
        <v>212</v>
      </c>
      <c r="G142" s="80">
        <f t="shared" si="14"/>
        <v>1060</v>
      </c>
      <c r="H142" s="81">
        <v>5</v>
      </c>
      <c r="I142" s="91"/>
      <c r="J142" s="31"/>
      <c r="K142" s="32"/>
      <c r="L142" s="33">
        <v>5</v>
      </c>
      <c r="M142" s="34">
        <v>0</v>
      </c>
      <c r="N142" s="35">
        <v>0</v>
      </c>
      <c r="O142" s="105"/>
      <c r="P142" s="37">
        <f t="shared" si="18"/>
        <v>5</v>
      </c>
    </row>
    <row r="143" spans="1:16" ht="14.25">
      <c r="A143" s="22">
        <v>140</v>
      </c>
      <c r="B143" s="100" t="s">
        <v>195</v>
      </c>
      <c r="C143" s="76" t="s">
        <v>118</v>
      </c>
      <c r="D143" s="84" t="s">
        <v>193</v>
      </c>
      <c r="E143" s="78">
        <v>46082</v>
      </c>
      <c r="F143" s="79">
        <v>344</v>
      </c>
      <c r="G143" s="80">
        <f t="shared" si="14"/>
        <v>2064</v>
      </c>
      <c r="H143" s="81">
        <v>6</v>
      </c>
      <c r="I143" s="91"/>
      <c r="J143" s="32"/>
      <c r="K143" s="32"/>
      <c r="L143" s="33">
        <v>0</v>
      </c>
      <c r="M143" s="34">
        <v>6</v>
      </c>
      <c r="N143" s="35">
        <v>0</v>
      </c>
      <c r="O143" s="66"/>
      <c r="P143" s="37">
        <f t="shared" si="18"/>
        <v>6</v>
      </c>
    </row>
    <row r="144" spans="1:16" ht="28.5">
      <c r="A144" s="22">
        <v>141</v>
      </c>
      <c r="B144" s="100" t="s">
        <v>196</v>
      </c>
      <c r="C144" s="76" t="s">
        <v>118</v>
      </c>
      <c r="D144" s="84" t="s">
        <v>193</v>
      </c>
      <c r="E144" s="78">
        <v>46082</v>
      </c>
      <c r="F144" s="79">
        <v>299</v>
      </c>
      <c r="G144" s="80">
        <f t="shared" si="14"/>
        <v>1196</v>
      </c>
      <c r="H144" s="81">
        <v>4</v>
      </c>
      <c r="I144" s="91"/>
      <c r="J144" s="59"/>
      <c r="K144" s="59"/>
      <c r="L144" s="33">
        <v>0</v>
      </c>
      <c r="M144" s="34">
        <v>4</v>
      </c>
      <c r="N144" s="61"/>
      <c r="O144" s="104"/>
      <c r="P144" s="37">
        <f t="shared" si="18"/>
        <v>4</v>
      </c>
    </row>
    <row r="145" spans="1:16" ht="28.5">
      <c r="A145" s="22">
        <v>142</v>
      </c>
      <c r="B145" s="94" t="s">
        <v>197</v>
      </c>
      <c r="C145" s="76" t="s">
        <v>118</v>
      </c>
      <c r="D145" s="87"/>
      <c r="E145" s="78">
        <v>46054</v>
      </c>
      <c r="F145" s="89">
        <v>224</v>
      </c>
      <c r="G145" s="89">
        <f t="shared" si="14"/>
        <v>672</v>
      </c>
      <c r="H145" s="81">
        <v>3</v>
      </c>
      <c r="I145" s="91"/>
      <c r="J145" s="32"/>
      <c r="K145" s="32"/>
      <c r="L145" s="33">
        <f>3-1-2</f>
        <v>0</v>
      </c>
      <c r="M145" s="34">
        <v>1</v>
      </c>
      <c r="N145" s="35">
        <v>2</v>
      </c>
      <c r="O145" s="36"/>
      <c r="P145" s="37">
        <f t="shared" si="18"/>
        <v>3</v>
      </c>
    </row>
    <row r="146" spans="1:16" ht="14.25">
      <c r="A146" s="22">
        <v>143</v>
      </c>
      <c r="B146" s="94" t="s">
        <v>198</v>
      </c>
      <c r="C146" s="76" t="s">
        <v>118</v>
      </c>
      <c r="D146" s="87"/>
      <c r="E146" s="78">
        <v>45901</v>
      </c>
      <c r="F146" s="89">
        <v>224</v>
      </c>
      <c r="G146" s="89">
        <f t="shared" si="14"/>
        <v>896</v>
      </c>
      <c r="H146" s="81">
        <v>4</v>
      </c>
      <c r="I146" s="91"/>
      <c r="J146" s="32"/>
      <c r="K146" s="32"/>
      <c r="L146" s="33">
        <f>4</f>
        <v>4</v>
      </c>
      <c r="M146" s="34">
        <v>0</v>
      </c>
      <c r="N146" s="35">
        <v>0</v>
      </c>
      <c r="O146" s="36"/>
      <c r="P146" s="37">
        <f t="shared" si="18"/>
        <v>4</v>
      </c>
    </row>
    <row r="147" spans="1:16" ht="15">
      <c r="A147" s="22"/>
      <c r="B147" s="255" t="s">
        <v>199</v>
      </c>
      <c r="C147" s="256"/>
      <c r="D147" s="256"/>
      <c r="E147" s="256"/>
      <c r="F147" s="256"/>
      <c r="G147" s="256"/>
      <c r="H147" s="256"/>
      <c r="I147" s="65"/>
      <c r="J147" s="31"/>
      <c r="K147" s="32"/>
      <c r="L147" s="55"/>
      <c r="M147" s="42"/>
      <c r="N147" s="35"/>
      <c r="O147" s="36"/>
      <c r="P147" s="37">
        <f t="shared" si="18"/>
        <v>0</v>
      </c>
    </row>
    <row r="148" spans="1:16" ht="42.75" customHeight="1">
      <c r="A148" s="106">
        <v>1</v>
      </c>
      <c r="B148" s="107" t="s">
        <v>200</v>
      </c>
      <c r="C148" s="108" t="s">
        <v>23</v>
      </c>
      <c r="D148" s="109"/>
      <c r="E148" s="110">
        <v>46539</v>
      </c>
      <c r="F148" s="64">
        <v>87.763220000000004</v>
      </c>
      <c r="G148" s="28">
        <f t="shared" ref="G148:G163" si="19">F148*H148</f>
        <v>702.10576000000003</v>
      </c>
      <c r="H148" s="29">
        <v>8</v>
      </c>
      <c r="I148" s="65"/>
      <c r="J148" s="32"/>
      <c r="K148" s="31"/>
      <c r="L148" s="45"/>
      <c r="M148" s="34"/>
      <c r="N148" s="43">
        <v>8</v>
      </c>
      <c r="O148" s="36"/>
      <c r="P148" s="37"/>
    </row>
    <row r="149" spans="1:16" ht="89.25">
      <c r="A149" s="106">
        <v>2</v>
      </c>
      <c r="B149" s="111" t="s">
        <v>201</v>
      </c>
      <c r="C149" s="108" t="s">
        <v>23</v>
      </c>
      <c r="D149" s="109"/>
      <c r="E149" s="110">
        <v>46419</v>
      </c>
      <c r="F149" s="74">
        <v>47.498109999999997</v>
      </c>
      <c r="G149" s="28">
        <f t="shared" si="19"/>
        <v>807.46786999999995</v>
      </c>
      <c r="H149" s="29">
        <v>17</v>
      </c>
      <c r="I149" s="65"/>
      <c r="J149" s="32"/>
      <c r="K149" s="31"/>
      <c r="L149" s="45"/>
      <c r="M149" s="34"/>
      <c r="N149" s="43">
        <v>17</v>
      </c>
      <c r="O149" s="36"/>
      <c r="P149" s="37">
        <f t="shared" ref="P149:P153" si="20">L149+M149+N149</f>
        <v>17</v>
      </c>
    </row>
    <row r="150" spans="1:16" ht="38.25">
      <c r="A150" s="106">
        <v>3</v>
      </c>
      <c r="B150" s="107" t="s">
        <v>202</v>
      </c>
      <c r="C150" s="108" t="s">
        <v>203</v>
      </c>
      <c r="D150" s="109"/>
      <c r="E150" s="110">
        <v>46447</v>
      </c>
      <c r="F150" s="112">
        <v>63</v>
      </c>
      <c r="G150" s="28">
        <f t="shared" si="19"/>
        <v>76230</v>
      </c>
      <c r="H150" s="29">
        <v>1210</v>
      </c>
      <c r="I150" s="65"/>
      <c r="J150" s="31"/>
      <c r="K150" s="32"/>
      <c r="L150" s="45"/>
      <c r="M150" s="34">
        <v>1020</v>
      </c>
      <c r="N150" s="43">
        <v>190</v>
      </c>
      <c r="O150" s="36"/>
      <c r="P150" s="37">
        <f t="shared" si="20"/>
        <v>1210</v>
      </c>
    </row>
    <row r="151" spans="1:16" ht="76.5">
      <c r="A151" s="106">
        <v>4</v>
      </c>
      <c r="B151" s="107" t="s">
        <v>204</v>
      </c>
      <c r="C151" s="108" t="s">
        <v>203</v>
      </c>
      <c r="D151" s="109"/>
      <c r="E151" s="110">
        <v>46204</v>
      </c>
      <c r="F151" s="113">
        <v>311.82</v>
      </c>
      <c r="G151" s="28">
        <f t="shared" si="19"/>
        <v>29311.079999999998</v>
      </c>
      <c r="H151" s="29">
        <v>94</v>
      </c>
      <c r="I151" s="65"/>
      <c r="J151" s="114"/>
      <c r="K151" s="32"/>
      <c r="L151" s="45"/>
      <c r="M151" s="34"/>
      <c r="N151" s="43">
        <v>94</v>
      </c>
      <c r="O151" s="36"/>
      <c r="P151" s="37">
        <f t="shared" si="20"/>
        <v>94</v>
      </c>
    </row>
    <row r="152" spans="1:16" ht="38.25" hidden="1">
      <c r="A152" s="106">
        <v>9</v>
      </c>
      <c r="B152" s="107" t="s">
        <v>205</v>
      </c>
      <c r="C152" s="108" t="s">
        <v>203</v>
      </c>
      <c r="D152" s="109"/>
      <c r="E152" s="110">
        <v>46082</v>
      </c>
      <c r="F152" s="113">
        <v>102.39241</v>
      </c>
      <c r="G152" s="28">
        <f t="shared" si="19"/>
        <v>0</v>
      </c>
      <c r="H152" s="29">
        <v>0</v>
      </c>
      <c r="I152" s="65"/>
      <c r="J152" s="31"/>
      <c r="K152" s="32"/>
      <c r="L152" s="45"/>
      <c r="M152" s="34"/>
      <c r="N152" s="43">
        <v>0</v>
      </c>
      <c r="O152" s="36"/>
      <c r="P152" s="37">
        <f t="shared" si="20"/>
        <v>0</v>
      </c>
    </row>
    <row r="153" spans="1:16" ht="89.25">
      <c r="A153" s="106">
        <v>5</v>
      </c>
      <c r="B153" s="107" t="s">
        <v>206</v>
      </c>
      <c r="C153" s="108" t="s">
        <v>203</v>
      </c>
      <c r="D153" s="109"/>
      <c r="E153" s="110">
        <v>46296</v>
      </c>
      <c r="F153" s="113">
        <v>165.97004999999999</v>
      </c>
      <c r="G153" s="28">
        <f t="shared" si="19"/>
        <v>5642.9816999999994</v>
      </c>
      <c r="H153" s="29">
        <v>34</v>
      </c>
      <c r="I153" s="65"/>
      <c r="J153" s="31"/>
      <c r="K153" s="32"/>
      <c r="L153" s="45"/>
      <c r="M153" s="34"/>
      <c r="N153" s="43">
        <v>34</v>
      </c>
      <c r="O153" s="36"/>
      <c r="P153" s="37">
        <f t="shared" si="20"/>
        <v>34</v>
      </c>
    </row>
    <row r="154" spans="1:16" ht="51">
      <c r="A154" s="106">
        <v>6</v>
      </c>
      <c r="B154" s="107" t="s">
        <v>207</v>
      </c>
      <c r="C154" s="108" t="s">
        <v>23</v>
      </c>
      <c r="D154" s="109"/>
      <c r="E154" s="110">
        <v>46722</v>
      </c>
      <c r="F154" s="113">
        <v>22.809000000000001</v>
      </c>
      <c r="G154" s="28">
        <f t="shared" si="19"/>
        <v>2280.9</v>
      </c>
      <c r="H154" s="29">
        <v>100</v>
      </c>
      <c r="I154" s="65"/>
      <c r="J154" s="31"/>
      <c r="K154" s="32"/>
      <c r="L154" s="45"/>
      <c r="M154" s="34"/>
      <c r="N154" s="43">
        <v>100</v>
      </c>
      <c r="O154" s="36"/>
      <c r="P154" s="37"/>
    </row>
    <row r="155" spans="1:16" ht="66.75" customHeight="1">
      <c r="A155" s="106">
        <v>7</v>
      </c>
      <c r="B155" s="115" t="s">
        <v>208</v>
      </c>
      <c r="C155" s="108" t="s">
        <v>203</v>
      </c>
      <c r="D155" s="109"/>
      <c r="E155" s="110">
        <v>46174</v>
      </c>
      <c r="F155" s="113">
        <v>165.97</v>
      </c>
      <c r="G155" s="28">
        <f t="shared" si="19"/>
        <v>11617.9</v>
      </c>
      <c r="H155" s="29">
        <v>70</v>
      </c>
      <c r="I155" s="65"/>
      <c r="J155" s="31"/>
      <c r="K155" s="32"/>
      <c r="L155" s="45"/>
      <c r="M155" s="34"/>
      <c r="N155" s="43">
        <v>70</v>
      </c>
      <c r="O155" s="36"/>
      <c r="P155" s="37"/>
    </row>
    <row r="156" spans="1:16" ht="45.75" customHeight="1">
      <c r="A156" s="106">
        <v>8</v>
      </c>
      <c r="B156" s="115" t="s">
        <v>209</v>
      </c>
      <c r="C156" s="108" t="s">
        <v>23</v>
      </c>
      <c r="D156" s="109"/>
      <c r="E156" s="110">
        <v>46235</v>
      </c>
      <c r="F156" s="113">
        <v>83.28913</v>
      </c>
      <c r="G156" s="28">
        <f t="shared" si="19"/>
        <v>1166.04782</v>
      </c>
      <c r="H156" s="29">
        <v>14</v>
      </c>
      <c r="I156" s="65"/>
      <c r="J156" s="31"/>
      <c r="K156" s="32"/>
      <c r="L156" s="45"/>
      <c r="M156" s="34"/>
      <c r="N156" s="43">
        <v>14</v>
      </c>
      <c r="O156" s="36"/>
      <c r="P156" s="37"/>
    </row>
    <row r="157" spans="1:16" ht="48.75" customHeight="1">
      <c r="A157" s="106">
        <v>9</v>
      </c>
      <c r="B157" s="107" t="s">
        <v>210</v>
      </c>
      <c r="C157" s="108" t="s">
        <v>211</v>
      </c>
      <c r="D157" s="109"/>
      <c r="E157" s="110">
        <v>46419</v>
      </c>
      <c r="F157" s="113">
        <v>151.69268</v>
      </c>
      <c r="G157" s="28">
        <f t="shared" si="19"/>
        <v>151.69268</v>
      </c>
      <c r="H157" s="29">
        <v>1</v>
      </c>
      <c r="I157" s="65">
        <v>0</v>
      </c>
      <c r="J157" s="31"/>
      <c r="K157" s="32"/>
      <c r="L157" s="45"/>
      <c r="M157" s="34"/>
      <c r="N157" s="43">
        <v>1</v>
      </c>
      <c r="O157" s="36"/>
      <c r="P157" s="37"/>
    </row>
    <row r="158" spans="1:16" ht="49.5" customHeight="1">
      <c r="A158" s="106">
        <v>10</v>
      </c>
      <c r="B158" s="107" t="s">
        <v>212</v>
      </c>
      <c r="C158" s="108" t="s">
        <v>211</v>
      </c>
      <c r="D158" s="109"/>
      <c r="E158" s="116">
        <v>46419</v>
      </c>
      <c r="F158" s="113">
        <v>104.197</v>
      </c>
      <c r="G158" s="28">
        <f t="shared" si="19"/>
        <v>1041.97</v>
      </c>
      <c r="H158" s="29">
        <v>10</v>
      </c>
      <c r="I158" s="65"/>
      <c r="J158" s="31"/>
      <c r="K158" s="32"/>
      <c r="L158" s="55"/>
      <c r="M158" s="34"/>
      <c r="N158" s="43">
        <v>10</v>
      </c>
      <c r="O158" s="36"/>
      <c r="P158" s="37"/>
    </row>
    <row r="159" spans="1:16" ht="63.75" customHeight="1">
      <c r="A159" s="106">
        <v>11</v>
      </c>
      <c r="B159" s="107" t="s">
        <v>213</v>
      </c>
      <c r="C159" s="108" t="s">
        <v>211</v>
      </c>
      <c r="D159" s="109"/>
      <c r="E159" s="116">
        <v>46419</v>
      </c>
      <c r="F159" s="113">
        <v>53.739330000000002</v>
      </c>
      <c r="G159" s="28">
        <f t="shared" si="19"/>
        <v>1074.7866000000001</v>
      </c>
      <c r="H159" s="29">
        <v>20</v>
      </c>
      <c r="I159" s="65"/>
      <c r="J159" s="31"/>
      <c r="K159" s="32"/>
      <c r="L159" s="55"/>
      <c r="M159" s="34"/>
      <c r="N159" s="43">
        <v>20</v>
      </c>
      <c r="O159" s="36"/>
      <c r="P159" s="37"/>
    </row>
    <row r="160" spans="1:16" ht="38.25">
      <c r="A160" s="106">
        <v>12</v>
      </c>
      <c r="B160" s="117" t="s">
        <v>214</v>
      </c>
      <c r="C160" s="118" t="s">
        <v>203</v>
      </c>
      <c r="D160" s="119"/>
      <c r="E160" s="120">
        <v>45962</v>
      </c>
      <c r="F160" s="121">
        <v>278.76278000000002</v>
      </c>
      <c r="G160" s="28">
        <f t="shared" si="19"/>
        <v>0</v>
      </c>
      <c r="H160" s="29">
        <v>0</v>
      </c>
      <c r="I160" s="65"/>
      <c r="J160" s="31"/>
      <c r="K160" s="32"/>
      <c r="L160" s="55"/>
      <c r="M160" s="34">
        <v>0</v>
      </c>
      <c r="N160" s="43"/>
      <c r="O160" s="36"/>
      <c r="P160" s="37"/>
    </row>
    <row r="161" spans="1:18" ht="39.75" customHeight="1">
      <c r="A161" s="106">
        <v>13</v>
      </c>
      <c r="B161" s="122" t="s">
        <v>215</v>
      </c>
      <c r="C161" s="118" t="s">
        <v>203</v>
      </c>
      <c r="D161" s="119"/>
      <c r="E161" s="123">
        <v>46054</v>
      </c>
      <c r="F161" s="121">
        <v>279.78750000000002</v>
      </c>
      <c r="G161" s="28">
        <f t="shared" si="19"/>
        <v>0</v>
      </c>
      <c r="H161" s="29">
        <v>0</v>
      </c>
      <c r="I161" s="65"/>
      <c r="J161" s="31"/>
      <c r="K161" s="32"/>
      <c r="L161" s="55"/>
      <c r="M161" s="34"/>
      <c r="N161" s="43">
        <v>0</v>
      </c>
      <c r="O161" s="36"/>
      <c r="P161" s="37"/>
    </row>
    <row r="162" spans="1:18" ht="42" customHeight="1">
      <c r="A162" s="106">
        <v>14</v>
      </c>
      <c r="B162" s="122" t="s">
        <v>216</v>
      </c>
      <c r="C162" s="118" t="s">
        <v>203</v>
      </c>
      <c r="D162" s="119"/>
      <c r="E162" s="123">
        <v>46204</v>
      </c>
      <c r="F162" s="121">
        <v>279.78733</v>
      </c>
      <c r="G162" s="28">
        <f t="shared" si="19"/>
        <v>0</v>
      </c>
      <c r="H162" s="29">
        <v>0</v>
      </c>
      <c r="I162" s="65"/>
      <c r="J162" s="31"/>
      <c r="K162" s="32"/>
      <c r="L162" s="55"/>
      <c r="M162" s="34"/>
      <c r="N162" s="43">
        <v>0</v>
      </c>
      <c r="O162" s="36"/>
      <c r="P162" s="37"/>
    </row>
    <row r="163" spans="1:18" ht="42" customHeight="1">
      <c r="A163" s="106">
        <v>15</v>
      </c>
      <c r="B163" s="122" t="s">
        <v>217</v>
      </c>
      <c r="C163" s="118" t="s">
        <v>23</v>
      </c>
      <c r="D163" s="119"/>
      <c r="E163" s="123">
        <v>46388</v>
      </c>
      <c r="F163" s="121">
        <v>19.100000000000001</v>
      </c>
      <c r="G163" s="28">
        <f t="shared" si="19"/>
        <v>0</v>
      </c>
      <c r="H163" s="29">
        <v>0</v>
      </c>
      <c r="I163" s="65"/>
      <c r="J163" s="31"/>
      <c r="K163" s="32"/>
      <c r="L163" s="55"/>
      <c r="M163" s="34"/>
      <c r="N163" s="43">
        <v>0</v>
      </c>
      <c r="O163" s="36"/>
      <c r="P163" s="37"/>
    </row>
    <row r="164" spans="1:18" ht="30" customHeight="1">
      <c r="A164" s="106">
        <v>16</v>
      </c>
      <c r="B164" s="122" t="s">
        <v>218</v>
      </c>
      <c r="C164" s="118" t="s">
        <v>118</v>
      </c>
      <c r="D164" s="119"/>
      <c r="E164" s="124"/>
      <c r="F164" s="125"/>
      <c r="G164" s="28">
        <f t="shared" ref="G164:G166" si="21">H164*F164</f>
        <v>0</v>
      </c>
      <c r="H164" s="29">
        <v>100</v>
      </c>
      <c r="I164" s="65"/>
      <c r="J164" s="31"/>
      <c r="K164" s="32"/>
      <c r="L164" s="55"/>
      <c r="M164" s="34"/>
      <c r="N164" s="43">
        <v>100</v>
      </c>
      <c r="O164" s="36"/>
      <c r="P164" s="37">
        <f t="shared" ref="P164:P165" si="22">L164+M164+N164</f>
        <v>100</v>
      </c>
    </row>
    <row r="165" spans="1:18" ht="38.25">
      <c r="A165" s="106">
        <v>17</v>
      </c>
      <c r="B165" s="126" t="s">
        <v>219</v>
      </c>
      <c r="C165" s="118" t="s">
        <v>118</v>
      </c>
      <c r="D165" s="119"/>
      <c r="E165" s="123">
        <v>46204</v>
      </c>
      <c r="F165" s="127">
        <v>0</v>
      </c>
      <c r="G165" s="28">
        <f t="shared" si="21"/>
        <v>0</v>
      </c>
      <c r="H165" s="29">
        <v>180</v>
      </c>
      <c r="I165" s="65"/>
      <c r="J165" s="32"/>
      <c r="K165" s="32"/>
      <c r="L165" s="45">
        <v>0</v>
      </c>
      <c r="M165" s="34"/>
      <c r="N165" s="43">
        <v>180</v>
      </c>
      <c r="O165" s="36"/>
      <c r="P165" s="37">
        <f t="shared" si="22"/>
        <v>180</v>
      </c>
    </row>
    <row r="166" spans="1:18" ht="25.5">
      <c r="A166" s="106">
        <v>18</v>
      </c>
      <c r="B166" s="122" t="s">
        <v>220</v>
      </c>
      <c r="C166" s="118" t="s">
        <v>118</v>
      </c>
      <c r="D166" s="128"/>
      <c r="E166" s="123">
        <v>46661</v>
      </c>
      <c r="F166" s="121">
        <v>1.5</v>
      </c>
      <c r="G166" s="28">
        <f t="shared" si="21"/>
        <v>15</v>
      </c>
      <c r="H166" s="29">
        <v>10</v>
      </c>
      <c r="I166" s="65"/>
      <c r="J166" s="32"/>
      <c r="K166" s="32"/>
      <c r="L166" s="45"/>
      <c r="M166" s="34"/>
      <c r="N166" s="43">
        <v>0</v>
      </c>
      <c r="O166" s="36"/>
      <c r="P166" s="37"/>
    </row>
    <row r="167" spans="1:18" ht="38.25">
      <c r="A167" s="106">
        <v>19</v>
      </c>
      <c r="B167" s="122" t="s">
        <v>221</v>
      </c>
      <c r="C167" s="118" t="s">
        <v>118</v>
      </c>
      <c r="D167" s="128"/>
      <c r="E167" s="123">
        <v>46204</v>
      </c>
      <c r="F167" s="121">
        <v>0</v>
      </c>
      <c r="G167" s="46">
        <f t="shared" ref="G167:G171" si="23">F167*H167</f>
        <v>0</v>
      </c>
      <c r="H167" s="29">
        <v>189</v>
      </c>
      <c r="I167" s="65"/>
      <c r="J167" s="32"/>
      <c r="K167" s="32"/>
      <c r="L167" s="45"/>
      <c r="M167" s="34">
        <v>189</v>
      </c>
      <c r="N167" s="43"/>
      <c r="O167" s="36"/>
      <c r="P167" s="37">
        <f t="shared" ref="P167:P170" si="24">L167+M167+N167</f>
        <v>189</v>
      </c>
    </row>
    <row r="168" spans="1:18" ht="38.25">
      <c r="A168" s="106">
        <v>20</v>
      </c>
      <c r="B168" s="122" t="s">
        <v>222</v>
      </c>
      <c r="C168" s="118" t="s">
        <v>118</v>
      </c>
      <c r="D168" s="119"/>
      <c r="E168" s="129">
        <v>46296</v>
      </c>
      <c r="F168" s="130">
        <v>1.31</v>
      </c>
      <c r="G168" s="46">
        <f t="shared" si="23"/>
        <v>4528.67</v>
      </c>
      <c r="H168" s="29">
        <v>3457</v>
      </c>
      <c r="I168" s="65"/>
      <c r="J168" s="32"/>
      <c r="K168" s="32"/>
      <c r="L168" s="45">
        <v>0</v>
      </c>
      <c r="M168" s="34">
        <v>1380</v>
      </c>
      <c r="N168" s="35">
        <v>2077</v>
      </c>
      <c r="O168" s="36"/>
      <c r="P168" s="37">
        <f t="shared" si="24"/>
        <v>3457</v>
      </c>
    </row>
    <row r="169" spans="1:18" ht="38.25">
      <c r="A169" s="106">
        <v>21</v>
      </c>
      <c r="B169" s="122" t="s">
        <v>223</v>
      </c>
      <c r="C169" s="118" t="s">
        <v>118</v>
      </c>
      <c r="D169" s="119"/>
      <c r="E169" s="129">
        <v>46296</v>
      </c>
      <c r="F169" s="130">
        <v>3.54</v>
      </c>
      <c r="G169" s="46">
        <f t="shared" si="23"/>
        <v>3568.32</v>
      </c>
      <c r="H169" s="29">
        <v>1008</v>
      </c>
      <c r="I169" s="65"/>
      <c r="J169" s="32"/>
      <c r="K169" s="32"/>
      <c r="L169" s="45"/>
      <c r="M169" s="34">
        <v>1008</v>
      </c>
      <c r="N169" s="35">
        <v>0</v>
      </c>
      <c r="O169" s="36"/>
      <c r="P169" s="37">
        <f t="shared" si="24"/>
        <v>1008</v>
      </c>
    </row>
    <row r="170" spans="1:18" ht="25.5">
      <c r="A170" s="106">
        <v>22</v>
      </c>
      <c r="B170" s="122" t="s">
        <v>224</v>
      </c>
      <c r="C170" s="118" t="s">
        <v>118</v>
      </c>
      <c r="D170" s="119"/>
      <c r="E170" s="129">
        <v>46508</v>
      </c>
      <c r="F170" s="130">
        <v>1.46</v>
      </c>
      <c r="G170" s="46">
        <f t="shared" si="23"/>
        <v>134.32</v>
      </c>
      <c r="H170" s="29">
        <v>92</v>
      </c>
      <c r="I170" s="65"/>
      <c r="J170" s="32"/>
      <c r="K170" s="32"/>
      <c r="L170" s="45">
        <v>0</v>
      </c>
      <c r="M170" s="34"/>
      <c r="N170" s="35">
        <v>92</v>
      </c>
      <c r="O170" s="36"/>
      <c r="P170" s="37">
        <f t="shared" si="24"/>
        <v>92</v>
      </c>
    </row>
    <row r="171" spans="1:18" ht="51">
      <c r="A171" s="106">
        <v>23</v>
      </c>
      <c r="B171" s="107" t="s">
        <v>225</v>
      </c>
      <c r="C171" s="108" t="s">
        <v>118</v>
      </c>
      <c r="D171" s="109"/>
      <c r="E171" s="131"/>
      <c r="F171" s="74">
        <v>33.58</v>
      </c>
      <c r="G171" s="46">
        <f t="shared" si="23"/>
        <v>0</v>
      </c>
      <c r="H171" s="64">
        <v>0</v>
      </c>
      <c r="I171" s="65"/>
      <c r="J171" s="32"/>
      <c r="K171" s="32"/>
      <c r="L171" s="45"/>
      <c r="M171" s="34">
        <v>0</v>
      </c>
      <c r="N171" s="35"/>
      <c r="O171" s="36"/>
      <c r="P171" s="37"/>
    </row>
    <row r="172" spans="1:18" ht="25.5">
      <c r="A172" s="106">
        <v>24</v>
      </c>
      <c r="B172" s="107" t="s">
        <v>226</v>
      </c>
      <c r="C172" s="108" t="s">
        <v>118</v>
      </c>
      <c r="D172" s="109"/>
      <c r="E172" s="131"/>
      <c r="F172" s="74">
        <v>948</v>
      </c>
      <c r="G172" s="28">
        <f t="shared" ref="G172:G173" si="25">H172*F172</f>
        <v>3792</v>
      </c>
      <c r="H172" s="64">
        <v>4</v>
      </c>
      <c r="I172" s="65"/>
      <c r="J172" s="32"/>
      <c r="K172" s="32"/>
      <c r="L172" s="45">
        <v>4</v>
      </c>
      <c r="M172" s="34">
        <v>0</v>
      </c>
      <c r="N172" s="35"/>
      <c r="O172" s="36"/>
      <c r="P172" s="37">
        <f t="shared" ref="P172:P174" si="26">L172+M172+N172</f>
        <v>4</v>
      </c>
    </row>
    <row r="173" spans="1:18" ht="20.25" customHeight="1">
      <c r="A173" s="106">
        <v>25</v>
      </c>
      <c r="B173" s="132" t="s">
        <v>227</v>
      </c>
      <c r="C173" s="108" t="s">
        <v>23</v>
      </c>
      <c r="D173" s="133"/>
      <c r="E173" s="116">
        <v>46419</v>
      </c>
      <c r="F173" s="64">
        <v>25.79</v>
      </c>
      <c r="G173" s="134">
        <f t="shared" si="25"/>
        <v>876.86</v>
      </c>
      <c r="H173" s="64">
        <v>34</v>
      </c>
      <c r="I173" s="65"/>
      <c r="J173" s="59"/>
      <c r="K173" s="57"/>
      <c r="L173" s="33">
        <f>40-2-8-6-5</f>
        <v>19</v>
      </c>
      <c r="M173" s="42">
        <v>3</v>
      </c>
      <c r="N173" s="35">
        <v>12</v>
      </c>
      <c r="O173" s="36"/>
      <c r="P173" s="37">
        <f t="shared" si="26"/>
        <v>34</v>
      </c>
    </row>
    <row r="174" spans="1:18" ht="28.5">
      <c r="A174" s="106">
        <v>26</v>
      </c>
      <c r="B174" s="135" t="s">
        <v>228</v>
      </c>
      <c r="C174" s="136" t="s">
        <v>118</v>
      </c>
      <c r="D174" s="136"/>
      <c r="E174" s="137">
        <v>46054</v>
      </c>
      <c r="F174" s="138">
        <v>41.60051</v>
      </c>
      <c r="G174" s="139">
        <f t="shared" ref="G174:G179" si="27">F174*H174</f>
        <v>0</v>
      </c>
      <c r="H174" s="140">
        <v>0</v>
      </c>
      <c r="I174" s="47"/>
      <c r="J174" s="31"/>
      <c r="K174" s="31"/>
      <c r="L174" s="45"/>
      <c r="M174" s="42">
        <v>0</v>
      </c>
      <c r="N174" s="43">
        <v>0</v>
      </c>
      <c r="O174" s="36"/>
      <c r="P174" s="37">
        <f t="shared" si="26"/>
        <v>0</v>
      </c>
      <c r="Q174" s="31"/>
      <c r="R174" s="59"/>
    </row>
    <row r="175" spans="1:18" ht="42.75">
      <c r="A175" s="106">
        <v>27</v>
      </c>
      <c r="B175" s="135" t="s">
        <v>229</v>
      </c>
      <c r="C175" s="136" t="s">
        <v>230</v>
      </c>
      <c r="D175" s="136" t="s">
        <v>231</v>
      </c>
      <c r="E175" s="137">
        <v>46388</v>
      </c>
      <c r="F175" s="138">
        <v>774.66</v>
      </c>
      <c r="G175" s="139">
        <f t="shared" si="27"/>
        <v>1549.32</v>
      </c>
      <c r="H175" s="140">
        <v>2</v>
      </c>
      <c r="I175" s="47"/>
      <c r="J175" s="31"/>
      <c r="K175" s="31"/>
      <c r="L175" s="45">
        <v>2</v>
      </c>
      <c r="M175" s="141"/>
      <c r="N175" s="60"/>
      <c r="O175" s="36"/>
      <c r="P175" s="37"/>
      <c r="Q175" s="31"/>
      <c r="R175" s="59"/>
    </row>
    <row r="176" spans="1:18" ht="42.75">
      <c r="A176" s="106">
        <v>28</v>
      </c>
      <c r="B176" s="135" t="s">
        <v>232</v>
      </c>
      <c r="C176" s="136" t="s">
        <v>230</v>
      </c>
      <c r="D176" s="136" t="s">
        <v>231</v>
      </c>
      <c r="E176" s="137">
        <v>46447</v>
      </c>
      <c r="F176" s="138">
        <v>774.66166699999997</v>
      </c>
      <c r="G176" s="139">
        <f t="shared" si="27"/>
        <v>4647.970002</v>
      </c>
      <c r="H176" s="140">
        <v>6</v>
      </c>
      <c r="I176" s="47"/>
      <c r="J176" s="31"/>
      <c r="K176" s="31"/>
      <c r="L176" s="45">
        <v>6</v>
      </c>
      <c r="M176" s="141"/>
      <c r="N176" s="60"/>
      <c r="O176" s="36"/>
      <c r="P176" s="37"/>
      <c r="Q176" s="31"/>
      <c r="R176" s="59"/>
    </row>
    <row r="177" spans="1:18" ht="42.75">
      <c r="A177" s="106">
        <v>29</v>
      </c>
      <c r="B177" s="135" t="s">
        <v>233</v>
      </c>
      <c r="C177" s="136" t="s">
        <v>230</v>
      </c>
      <c r="D177" s="136" t="s">
        <v>61</v>
      </c>
      <c r="E177" s="137">
        <v>46174</v>
      </c>
      <c r="F177" s="138">
        <v>216.33799999999999</v>
      </c>
      <c r="G177" s="139">
        <f t="shared" si="27"/>
        <v>1081.69</v>
      </c>
      <c r="H177" s="140">
        <v>5</v>
      </c>
      <c r="I177" s="47"/>
      <c r="J177" s="31"/>
      <c r="K177" s="31"/>
      <c r="L177" s="45">
        <v>5</v>
      </c>
      <c r="M177" s="141"/>
      <c r="N177" s="60"/>
      <c r="O177" s="36"/>
      <c r="P177" s="37"/>
      <c r="Q177" s="31"/>
      <c r="R177" s="59"/>
    </row>
    <row r="178" spans="1:18" ht="77.25" customHeight="1">
      <c r="A178" s="106">
        <v>30</v>
      </c>
      <c r="B178" s="135" t="s">
        <v>234</v>
      </c>
      <c r="C178" s="136" t="s">
        <v>230</v>
      </c>
      <c r="D178" s="136" t="s">
        <v>231</v>
      </c>
      <c r="E178" s="142">
        <v>46327</v>
      </c>
      <c r="F178" s="138">
        <v>850.47</v>
      </c>
      <c r="G178" s="139">
        <f t="shared" si="27"/>
        <v>850.47</v>
      </c>
      <c r="H178" s="140">
        <v>1</v>
      </c>
      <c r="I178" s="47"/>
      <c r="J178" s="31"/>
      <c r="K178" s="31"/>
      <c r="L178" s="45">
        <v>1</v>
      </c>
      <c r="M178" s="141"/>
      <c r="N178" s="60"/>
      <c r="O178" s="36"/>
      <c r="P178" s="37"/>
      <c r="Q178" s="31"/>
      <c r="R178" s="59"/>
    </row>
    <row r="179" spans="1:18" ht="42.75">
      <c r="A179" s="106">
        <v>31</v>
      </c>
      <c r="B179" s="135" t="s">
        <v>235</v>
      </c>
      <c r="C179" s="136" t="s">
        <v>230</v>
      </c>
      <c r="D179" s="136" t="s">
        <v>231</v>
      </c>
      <c r="E179" s="142">
        <v>46357</v>
      </c>
      <c r="F179" s="138">
        <v>1244.55</v>
      </c>
      <c r="G179" s="139">
        <f t="shared" si="27"/>
        <v>1244.55</v>
      </c>
      <c r="H179" s="140">
        <v>1</v>
      </c>
      <c r="I179" s="65">
        <v>25</v>
      </c>
      <c r="J179" s="31"/>
      <c r="K179" s="31"/>
      <c r="L179" s="45">
        <v>25</v>
      </c>
      <c r="M179" s="141"/>
      <c r="N179" s="60"/>
      <c r="O179" s="36"/>
      <c r="P179" s="37"/>
      <c r="Q179" s="31"/>
      <c r="R179" s="59"/>
    </row>
    <row r="180" spans="1:18" ht="14.25">
      <c r="A180" s="106">
        <v>32</v>
      </c>
      <c r="B180" s="143" t="s">
        <v>236</v>
      </c>
      <c r="C180" s="136" t="s">
        <v>118</v>
      </c>
      <c r="D180" s="136"/>
      <c r="E180" s="136"/>
      <c r="F180" s="138">
        <v>65</v>
      </c>
      <c r="G180" s="144">
        <f t="shared" ref="G180:G181" si="28">H180*F180</f>
        <v>1300</v>
      </c>
      <c r="H180" s="140">
        <v>20</v>
      </c>
      <c r="I180" s="47"/>
      <c r="J180" s="31"/>
      <c r="K180" s="31"/>
      <c r="L180" s="45">
        <v>20</v>
      </c>
      <c r="M180" s="141"/>
      <c r="N180" s="60"/>
      <c r="O180" s="36"/>
      <c r="P180" s="37">
        <f t="shared" ref="P180:P182" si="29">L180+M180+N180</f>
        <v>20</v>
      </c>
      <c r="Q180" s="31"/>
      <c r="R180" s="59"/>
    </row>
    <row r="181" spans="1:18" ht="18.75" customHeight="1">
      <c r="A181" s="106">
        <v>33</v>
      </c>
      <c r="B181" s="143" t="s">
        <v>237</v>
      </c>
      <c r="C181" s="136" t="s">
        <v>118</v>
      </c>
      <c r="D181" s="136"/>
      <c r="E181" s="136"/>
      <c r="F181" s="138">
        <v>150</v>
      </c>
      <c r="G181" s="144">
        <f t="shared" si="28"/>
        <v>1500</v>
      </c>
      <c r="H181" s="140">
        <v>10</v>
      </c>
      <c r="I181" s="47"/>
      <c r="J181" s="31"/>
      <c r="K181" s="31"/>
      <c r="L181" s="45">
        <v>10</v>
      </c>
      <c r="M181" s="141"/>
      <c r="N181" s="60"/>
      <c r="O181" s="36"/>
      <c r="P181" s="37">
        <f t="shared" si="29"/>
        <v>10</v>
      </c>
      <c r="Q181" s="31"/>
      <c r="R181" s="59"/>
    </row>
    <row r="182" spans="1:18" ht="24" customHeight="1">
      <c r="A182" s="106"/>
      <c r="B182" s="257" t="s">
        <v>238</v>
      </c>
      <c r="C182" s="256"/>
      <c r="D182" s="256"/>
      <c r="E182" s="256"/>
      <c r="F182" s="256"/>
      <c r="G182" s="258"/>
      <c r="H182" s="145"/>
      <c r="I182" s="146"/>
      <c r="J182" s="32" t="s">
        <v>0</v>
      </c>
      <c r="K182" s="31"/>
      <c r="L182" s="55"/>
      <c r="M182" s="141"/>
      <c r="N182" s="60"/>
      <c r="O182" s="36"/>
      <c r="P182" s="37">
        <f t="shared" si="29"/>
        <v>0</v>
      </c>
      <c r="Q182" s="31"/>
      <c r="R182" s="59">
        <v>0</v>
      </c>
    </row>
    <row r="183" spans="1:18" ht="12.75">
      <c r="A183" s="147">
        <v>1</v>
      </c>
      <c r="B183" s="148" t="s">
        <v>354</v>
      </c>
      <c r="C183" s="149" t="s">
        <v>118</v>
      </c>
      <c r="D183" s="150"/>
      <c r="E183" s="151"/>
      <c r="F183" s="152">
        <v>255.99</v>
      </c>
      <c r="G183" s="246">
        <f t="shared" ref="G183:G185" si="30">F183*H183</f>
        <v>12799.5</v>
      </c>
      <c r="H183" s="154">
        <v>50</v>
      </c>
      <c r="I183" s="155"/>
      <c r="J183" s="156"/>
      <c r="K183" s="155"/>
      <c r="L183" s="157">
        <v>50</v>
      </c>
      <c r="M183" s="34"/>
      <c r="N183" s="35"/>
      <c r="O183" s="36"/>
      <c r="P183" s="37"/>
    </row>
    <row r="184" spans="1:18" ht="12.75">
      <c r="A184" s="147">
        <v>2</v>
      </c>
      <c r="B184" s="148" t="s">
        <v>239</v>
      </c>
      <c r="C184" s="149" t="s">
        <v>23</v>
      </c>
      <c r="D184" s="150"/>
      <c r="E184" s="151"/>
      <c r="F184" s="152">
        <v>60</v>
      </c>
      <c r="G184" s="153">
        <f t="shared" si="30"/>
        <v>9060</v>
      </c>
      <c r="H184" s="154">
        <v>151</v>
      </c>
      <c r="I184" s="155"/>
      <c r="J184" s="156"/>
      <c r="K184" s="155"/>
      <c r="L184" s="157"/>
      <c r="M184" s="34">
        <v>151</v>
      </c>
      <c r="N184" s="35"/>
      <c r="O184" s="36"/>
      <c r="P184" s="37"/>
    </row>
    <row r="185" spans="1:18" ht="12.75">
      <c r="A185" s="147">
        <v>3</v>
      </c>
      <c r="B185" s="148" t="s">
        <v>240</v>
      </c>
      <c r="C185" s="149" t="s">
        <v>20</v>
      </c>
      <c r="D185" s="158" t="s">
        <v>241</v>
      </c>
      <c r="E185" s="151"/>
      <c r="F185" s="152">
        <v>28</v>
      </c>
      <c r="G185" s="153">
        <f t="shared" si="30"/>
        <v>14000</v>
      </c>
      <c r="H185" s="154">
        <v>500</v>
      </c>
      <c r="I185" s="159">
        <v>15000</v>
      </c>
      <c r="J185" s="156"/>
      <c r="K185" s="155"/>
      <c r="L185" s="157"/>
      <c r="M185" s="34">
        <v>15000</v>
      </c>
      <c r="N185" s="35"/>
      <c r="O185" s="36"/>
      <c r="P185" s="37"/>
    </row>
    <row r="186" spans="1:18" ht="30">
      <c r="A186" s="147">
        <v>4</v>
      </c>
      <c r="B186" s="160" t="s">
        <v>242</v>
      </c>
      <c r="C186" s="149" t="s">
        <v>118</v>
      </c>
      <c r="D186" s="150"/>
      <c r="E186" s="151">
        <v>46082</v>
      </c>
      <c r="F186" s="161">
        <v>36.28</v>
      </c>
      <c r="G186" s="153">
        <f t="shared" ref="G186:G274" si="31">H186*F186</f>
        <v>725.6</v>
      </c>
      <c r="H186" s="162">
        <v>20</v>
      </c>
      <c r="I186" s="155"/>
      <c r="J186" s="156"/>
      <c r="K186" s="155"/>
      <c r="L186" s="157">
        <v>0</v>
      </c>
      <c r="M186" s="34"/>
      <c r="N186" s="35">
        <v>20</v>
      </c>
      <c r="O186" s="36"/>
      <c r="P186" s="37">
        <f t="shared" ref="P186:P187" si="32">L186+M186+N186</f>
        <v>20</v>
      </c>
    </row>
    <row r="187" spans="1:18" ht="14.25">
      <c r="A187" s="147">
        <v>5</v>
      </c>
      <c r="B187" s="163" t="s">
        <v>243</v>
      </c>
      <c r="C187" s="164" t="s">
        <v>20</v>
      </c>
      <c r="D187" s="165" t="s">
        <v>244</v>
      </c>
      <c r="E187" s="166">
        <v>46419</v>
      </c>
      <c r="F187" s="139">
        <v>63.4</v>
      </c>
      <c r="G187" s="153">
        <f t="shared" si="31"/>
        <v>380.4</v>
      </c>
      <c r="H187" s="167">
        <v>6</v>
      </c>
      <c r="I187" s="168">
        <v>96</v>
      </c>
      <c r="J187" s="169"/>
      <c r="K187" s="31"/>
      <c r="L187" s="33">
        <f>120-120</f>
        <v>0</v>
      </c>
      <c r="M187" s="34">
        <v>96</v>
      </c>
      <c r="N187" s="35">
        <v>0</v>
      </c>
      <c r="O187" s="36"/>
      <c r="P187" s="37">
        <f t="shared" si="32"/>
        <v>96</v>
      </c>
    </row>
    <row r="188" spans="1:18" ht="14.25">
      <c r="A188" s="147">
        <v>6</v>
      </c>
      <c r="B188" s="163" t="s">
        <v>245</v>
      </c>
      <c r="C188" s="164" t="s">
        <v>20</v>
      </c>
      <c r="D188" s="165" t="s">
        <v>246</v>
      </c>
      <c r="E188" s="166"/>
      <c r="F188" s="139">
        <v>393.94</v>
      </c>
      <c r="G188" s="153">
        <f t="shared" si="31"/>
        <v>1181.82</v>
      </c>
      <c r="H188" s="167">
        <v>3</v>
      </c>
      <c r="I188" s="168">
        <v>130</v>
      </c>
      <c r="J188" s="169"/>
      <c r="K188" s="31"/>
      <c r="L188" s="33">
        <v>0</v>
      </c>
      <c r="M188" s="34"/>
      <c r="N188" s="35">
        <v>130</v>
      </c>
      <c r="O188" s="36"/>
      <c r="P188" s="37"/>
    </row>
    <row r="189" spans="1:18" ht="14.25">
      <c r="A189" s="147">
        <v>4</v>
      </c>
      <c r="B189" s="163" t="s">
        <v>247</v>
      </c>
      <c r="C189" s="164" t="s">
        <v>20</v>
      </c>
      <c r="D189" s="165" t="s">
        <v>248</v>
      </c>
      <c r="E189" s="166"/>
      <c r="F189" s="139">
        <v>144.91999999999999</v>
      </c>
      <c r="G189" s="153">
        <f t="shared" si="31"/>
        <v>0</v>
      </c>
      <c r="H189" s="167">
        <v>0</v>
      </c>
      <c r="I189" s="168">
        <v>0</v>
      </c>
      <c r="J189" s="169"/>
      <c r="K189" s="31"/>
      <c r="L189" s="33">
        <f>200-200</f>
        <v>0</v>
      </c>
      <c r="M189" s="34"/>
      <c r="N189" s="35">
        <v>0</v>
      </c>
      <c r="O189" s="36"/>
      <c r="P189" s="37"/>
    </row>
    <row r="190" spans="1:18" ht="14.25">
      <c r="A190" s="147">
        <v>7</v>
      </c>
      <c r="B190" s="163" t="s">
        <v>249</v>
      </c>
      <c r="C190" s="164" t="s">
        <v>20</v>
      </c>
      <c r="D190" s="165" t="s">
        <v>248</v>
      </c>
      <c r="E190" s="166">
        <v>46388</v>
      </c>
      <c r="F190" s="139">
        <v>28.22</v>
      </c>
      <c r="G190" s="144">
        <f t="shared" si="31"/>
        <v>2680.9</v>
      </c>
      <c r="H190" s="167">
        <v>95</v>
      </c>
      <c r="I190" s="168">
        <v>9500</v>
      </c>
      <c r="J190" s="169"/>
      <c r="K190" s="31"/>
      <c r="L190" s="33">
        <f>10000-100*100</f>
        <v>0</v>
      </c>
      <c r="M190" s="34">
        <v>9500</v>
      </c>
      <c r="N190" s="35"/>
      <c r="O190" s="36"/>
      <c r="P190" s="37">
        <f t="shared" ref="P190:P196" si="33">L190+M190+N190</f>
        <v>9500</v>
      </c>
    </row>
    <row r="191" spans="1:18" ht="14.25" hidden="1">
      <c r="A191" s="147">
        <v>6</v>
      </c>
      <c r="B191" s="163" t="s">
        <v>250</v>
      </c>
      <c r="C191" s="164" t="s">
        <v>20</v>
      </c>
      <c r="D191" s="165" t="s">
        <v>251</v>
      </c>
      <c r="E191" s="166">
        <v>45931</v>
      </c>
      <c r="F191" s="139">
        <v>901.37</v>
      </c>
      <c r="G191" s="144">
        <f t="shared" si="31"/>
        <v>0</v>
      </c>
      <c r="H191" s="167">
        <v>0</v>
      </c>
      <c r="I191" s="168">
        <v>0</v>
      </c>
      <c r="J191" s="31"/>
      <c r="K191" s="31"/>
      <c r="L191" s="33">
        <v>0</v>
      </c>
      <c r="M191" s="34">
        <v>0</v>
      </c>
      <c r="N191" s="35"/>
      <c r="O191" s="36"/>
      <c r="P191" s="37">
        <f t="shared" si="33"/>
        <v>0</v>
      </c>
    </row>
    <row r="192" spans="1:18" ht="28.5">
      <c r="A192" s="147">
        <v>8</v>
      </c>
      <c r="B192" s="163" t="s">
        <v>252</v>
      </c>
      <c r="C192" s="164" t="s">
        <v>20</v>
      </c>
      <c r="D192" s="165" t="s">
        <v>37</v>
      </c>
      <c r="E192" s="166">
        <v>46631</v>
      </c>
      <c r="F192" s="139">
        <v>83.19</v>
      </c>
      <c r="G192" s="144">
        <f t="shared" si="31"/>
        <v>1913.37</v>
      </c>
      <c r="H192" s="167">
        <v>23</v>
      </c>
      <c r="I192" s="168">
        <v>230</v>
      </c>
      <c r="J192" s="169"/>
      <c r="K192" s="31"/>
      <c r="L192" s="33">
        <f>240-60-180</f>
        <v>0</v>
      </c>
      <c r="M192" s="34">
        <v>180</v>
      </c>
      <c r="N192" s="35">
        <v>50</v>
      </c>
      <c r="O192" s="36"/>
      <c r="P192" s="37">
        <f t="shared" si="33"/>
        <v>230</v>
      </c>
    </row>
    <row r="193" spans="1:16" ht="14.25" hidden="1">
      <c r="A193" s="147">
        <v>6</v>
      </c>
      <c r="B193" s="163" t="s">
        <v>253</v>
      </c>
      <c r="C193" s="164" t="s">
        <v>20</v>
      </c>
      <c r="D193" s="165" t="s">
        <v>251</v>
      </c>
      <c r="E193" s="166">
        <v>45839</v>
      </c>
      <c r="F193" s="139">
        <v>633.99</v>
      </c>
      <c r="G193" s="144">
        <f t="shared" si="31"/>
        <v>0</v>
      </c>
      <c r="H193" s="167">
        <v>0</v>
      </c>
      <c r="I193" s="168">
        <v>0</v>
      </c>
      <c r="J193" s="31"/>
      <c r="K193" s="31"/>
      <c r="L193" s="33">
        <f>1000-1000</f>
        <v>0</v>
      </c>
      <c r="M193" s="34"/>
      <c r="N193" s="35">
        <v>0</v>
      </c>
      <c r="O193" s="36"/>
      <c r="P193" s="37">
        <f t="shared" si="33"/>
        <v>0</v>
      </c>
    </row>
    <row r="194" spans="1:16" ht="28.5" hidden="1">
      <c r="A194" s="147">
        <v>8</v>
      </c>
      <c r="B194" s="163" t="s">
        <v>254</v>
      </c>
      <c r="C194" s="164" t="s">
        <v>118</v>
      </c>
      <c r="D194" s="165" t="s">
        <v>37</v>
      </c>
      <c r="E194" s="166">
        <v>46054</v>
      </c>
      <c r="F194" s="139">
        <v>256.95999999999998</v>
      </c>
      <c r="G194" s="144">
        <f t="shared" si="31"/>
        <v>0</v>
      </c>
      <c r="H194" s="167">
        <v>0</v>
      </c>
      <c r="I194" s="168">
        <v>0</v>
      </c>
      <c r="J194" s="170"/>
      <c r="K194" s="31"/>
      <c r="L194" s="33">
        <v>0</v>
      </c>
      <c r="M194" s="34"/>
      <c r="N194" s="35">
        <v>0</v>
      </c>
      <c r="O194" s="36"/>
      <c r="P194" s="37">
        <f t="shared" si="33"/>
        <v>0</v>
      </c>
    </row>
    <row r="195" spans="1:16" ht="28.5">
      <c r="A195" s="147">
        <v>9</v>
      </c>
      <c r="B195" s="163" t="s">
        <v>254</v>
      </c>
      <c r="C195" s="164" t="s">
        <v>118</v>
      </c>
      <c r="D195" s="165" t="s">
        <v>231</v>
      </c>
      <c r="E195" s="166">
        <v>46296</v>
      </c>
      <c r="F195" s="139">
        <v>801.36</v>
      </c>
      <c r="G195" s="144">
        <f t="shared" si="31"/>
        <v>3205.44</v>
      </c>
      <c r="H195" s="167">
        <v>4</v>
      </c>
      <c r="I195" s="168">
        <v>60</v>
      </c>
      <c r="J195" s="169"/>
      <c r="K195" s="31"/>
      <c r="L195" s="33">
        <v>0</v>
      </c>
      <c r="M195" s="34"/>
      <c r="N195" s="35">
        <v>60</v>
      </c>
      <c r="O195" s="36"/>
      <c r="P195" s="37">
        <f t="shared" si="33"/>
        <v>60</v>
      </c>
    </row>
    <row r="196" spans="1:16" ht="14.25">
      <c r="A196" s="147">
        <v>10</v>
      </c>
      <c r="B196" s="163" t="s">
        <v>255</v>
      </c>
      <c r="C196" s="164" t="s">
        <v>20</v>
      </c>
      <c r="D196" s="165" t="s">
        <v>248</v>
      </c>
      <c r="E196" s="166">
        <v>46419</v>
      </c>
      <c r="F196" s="139">
        <v>205.6</v>
      </c>
      <c r="G196" s="144">
        <f t="shared" si="31"/>
        <v>205.6</v>
      </c>
      <c r="H196" s="167">
        <v>1</v>
      </c>
      <c r="I196" s="168">
        <v>80</v>
      </c>
      <c r="J196" s="169"/>
      <c r="K196" s="31"/>
      <c r="L196" s="33">
        <f>100-100</f>
        <v>0</v>
      </c>
      <c r="M196" s="34">
        <v>80</v>
      </c>
      <c r="N196" s="35"/>
      <c r="O196" s="36"/>
      <c r="P196" s="37">
        <f t="shared" si="33"/>
        <v>80</v>
      </c>
    </row>
    <row r="197" spans="1:16" ht="14.25">
      <c r="A197" s="147">
        <v>11</v>
      </c>
      <c r="B197" s="163" t="s">
        <v>355</v>
      </c>
      <c r="C197" s="164" t="s">
        <v>118</v>
      </c>
      <c r="D197" s="165"/>
      <c r="E197" s="166"/>
      <c r="F197" s="139">
        <v>14.89</v>
      </c>
      <c r="G197" s="247">
        <f t="shared" si="31"/>
        <v>297.8</v>
      </c>
      <c r="H197" s="167">
        <v>20</v>
      </c>
      <c r="I197" s="168"/>
      <c r="J197" s="31"/>
      <c r="K197" s="31"/>
      <c r="L197" s="33">
        <v>20</v>
      </c>
      <c r="M197" s="34"/>
      <c r="N197" s="35"/>
      <c r="O197" s="36"/>
      <c r="P197" s="37"/>
    </row>
    <row r="198" spans="1:16" ht="28.5">
      <c r="A198" s="147">
        <v>12</v>
      </c>
      <c r="B198" s="163" t="s">
        <v>256</v>
      </c>
      <c r="C198" s="164" t="s">
        <v>23</v>
      </c>
      <c r="D198" s="165" t="s">
        <v>101</v>
      </c>
      <c r="E198" s="166">
        <v>46357</v>
      </c>
      <c r="F198" s="139">
        <v>370</v>
      </c>
      <c r="G198" s="144">
        <f t="shared" si="31"/>
        <v>74000</v>
      </c>
      <c r="H198" s="167">
        <v>200</v>
      </c>
      <c r="I198" s="168"/>
      <c r="J198" s="31"/>
      <c r="K198" s="31"/>
      <c r="L198" s="33">
        <v>0</v>
      </c>
      <c r="M198" s="34">
        <v>200</v>
      </c>
      <c r="N198" s="35"/>
      <c r="O198" s="36"/>
      <c r="P198" s="37">
        <f t="shared" ref="P198:P199" si="34">L198+M198+N198</f>
        <v>200</v>
      </c>
    </row>
    <row r="199" spans="1:16" ht="15">
      <c r="A199" s="147">
        <v>13</v>
      </c>
      <c r="B199" s="171" t="s">
        <v>257</v>
      </c>
      <c r="C199" s="172" t="s">
        <v>20</v>
      </c>
      <c r="D199" s="173" t="s">
        <v>248</v>
      </c>
      <c r="E199" s="174">
        <v>46357</v>
      </c>
      <c r="F199" s="175">
        <v>51.54</v>
      </c>
      <c r="G199" s="144">
        <f t="shared" si="31"/>
        <v>51.54</v>
      </c>
      <c r="H199" s="154">
        <v>1</v>
      </c>
      <c r="I199" s="159">
        <v>80</v>
      </c>
      <c r="J199" s="156"/>
      <c r="K199" s="155"/>
      <c r="L199" s="157">
        <v>0</v>
      </c>
      <c r="M199" s="176">
        <v>80</v>
      </c>
      <c r="N199" s="35"/>
      <c r="O199" s="36"/>
      <c r="P199" s="37">
        <f t="shared" si="34"/>
        <v>80</v>
      </c>
    </row>
    <row r="200" spans="1:16" ht="15">
      <c r="A200" s="147">
        <v>14</v>
      </c>
      <c r="B200" s="171" t="s">
        <v>258</v>
      </c>
      <c r="C200" s="172" t="s">
        <v>20</v>
      </c>
      <c r="D200" s="173" t="s">
        <v>259</v>
      </c>
      <c r="E200" s="174">
        <v>46053</v>
      </c>
      <c r="F200" s="175">
        <v>28.966000000000001</v>
      </c>
      <c r="G200" s="144">
        <f t="shared" si="31"/>
        <v>289.66000000000003</v>
      </c>
      <c r="H200" s="154">
        <v>10</v>
      </c>
      <c r="I200" s="159">
        <v>280</v>
      </c>
      <c r="J200" s="155"/>
      <c r="K200" s="155"/>
      <c r="L200" s="157">
        <v>0</v>
      </c>
      <c r="M200" s="176">
        <v>280</v>
      </c>
      <c r="N200" s="35"/>
      <c r="O200" s="36"/>
      <c r="P200" s="37"/>
    </row>
    <row r="201" spans="1:16" ht="30">
      <c r="A201" s="147">
        <v>15</v>
      </c>
      <c r="B201" s="171" t="s">
        <v>260</v>
      </c>
      <c r="C201" s="172" t="s">
        <v>20</v>
      </c>
      <c r="D201" s="173" t="s">
        <v>261</v>
      </c>
      <c r="E201" s="174">
        <v>46023</v>
      </c>
      <c r="F201" s="175">
        <v>444.13900000000001</v>
      </c>
      <c r="G201" s="144">
        <f t="shared" si="31"/>
        <v>4441.3900000000003</v>
      </c>
      <c r="H201" s="154">
        <v>10</v>
      </c>
      <c r="I201" s="159">
        <v>980</v>
      </c>
      <c r="J201" s="155"/>
      <c r="K201" s="155"/>
      <c r="L201" s="157">
        <v>0</v>
      </c>
      <c r="M201" s="176">
        <v>980</v>
      </c>
      <c r="N201" s="35"/>
      <c r="O201" s="36"/>
      <c r="P201" s="37"/>
    </row>
    <row r="202" spans="1:16" ht="30" hidden="1">
      <c r="A202" s="147">
        <v>15</v>
      </c>
      <c r="B202" s="177" t="s">
        <v>262</v>
      </c>
      <c r="C202" s="172" t="s">
        <v>23</v>
      </c>
      <c r="D202" s="173" t="s">
        <v>263</v>
      </c>
      <c r="E202" s="174">
        <v>45962</v>
      </c>
      <c r="F202" s="175">
        <v>200</v>
      </c>
      <c r="G202" s="144">
        <f t="shared" si="31"/>
        <v>0</v>
      </c>
      <c r="H202" s="154">
        <v>0</v>
      </c>
      <c r="I202" s="155"/>
      <c r="J202" s="155"/>
      <c r="K202" s="155"/>
      <c r="L202" s="157">
        <v>0</v>
      </c>
      <c r="M202" s="176"/>
      <c r="N202" s="35">
        <v>0</v>
      </c>
      <c r="O202" s="36"/>
      <c r="P202" s="37">
        <f t="shared" ref="P202:P205" si="35">L202+M202+N202</f>
        <v>0</v>
      </c>
    </row>
    <row r="203" spans="1:16" ht="30">
      <c r="A203" s="147">
        <v>16</v>
      </c>
      <c r="B203" s="177" t="s">
        <v>264</v>
      </c>
      <c r="C203" s="149" t="s">
        <v>23</v>
      </c>
      <c r="D203" s="158" t="s">
        <v>263</v>
      </c>
      <c r="E203" s="150"/>
      <c r="F203" s="152">
        <v>200</v>
      </c>
      <c r="G203" s="153">
        <f t="shared" si="31"/>
        <v>0</v>
      </c>
      <c r="H203" s="162">
        <v>0</v>
      </c>
      <c r="I203" s="155"/>
      <c r="J203" s="155"/>
      <c r="K203" s="155"/>
      <c r="L203" s="157">
        <v>0</v>
      </c>
      <c r="M203" s="176">
        <v>0</v>
      </c>
      <c r="N203" s="178"/>
      <c r="O203" s="155"/>
      <c r="P203" s="37">
        <f t="shared" si="35"/>
        <v>0</v>
      </c>
    </row>
    <row r="204" spans="1:16" ht="15" hidden="1">
      <c r="A204" s="147">
        <v>19</v>
      </c>
      <c r="B204" s="177" t="s">
        <v>265</v>
      </c>
      <c r="C204" s="172" t="s">
        <v>266</v>
      </c>
      <c r="D204" s="173"/>
      <c r="E204" s="179">
        <v>46174</v>
      </c>
      <c r="F204" s="175">
        <v>18.690000000000001</v>
      </c>
      <c r="G204" s="144">
        <f t="shared" si="31"/>
        <v>0</v>
      </c>
      <c r="H204" s="154">
        <v>0</v>
      </c>
      <c r="I204" s="155"/>
      <c r="J204" s="156"/>
      <c r="K204" s="155"/>
      <c r="L204" s="157">
        <v>0</v>
      </c>
      <c r="M204" s="176"/>
      <c r="N204" s="180">
        <v>0</v>
      </c>
      <c r="O204" s="155"/>
      <c r="P204" s="37">
        <f t="shared" si="35"/>
        <v>0</v>
      </c>
    </row>
    <row r="205" spans="1:16" ht="15" hidden="1">
      <c r="A205" s="147">
        <v>18</v>
      </c>
      <c r="B205" s="177" t="s">
        <v>267</v>
      </c>
      <c r="C205" s="172" t="s">
        <v>266</v>
      </c>
      <c r="D205" s="173"/>
      <c r="E205" s="179">
        <v>45870</v>
      </c>
      <c r="F205" s="175">
        <v>22.77</v>
      </c>
      <c r="G205" s="144">
        <f t="shared" si="31"/>
        <v>0</v>
      </c>
      <c r="H205" s="154">
        <v>0</v>
      </c>
      <c r="I205" s="155"/>
      <c r="J205" s="156"/>
      <c r="K205" s="155"/>
      <c r="L205" s="157">
        <v>0</v>
      </c>
      <c r="M205" s="176">
        <v>0</v>
      </c>
      <c r="N205" s="180"/>
      <c r="O205" s="155"/>
      <c r="P205" s="37">
        <f t="shared" si="35"/>
        <v>0</v>
      </c>
    </row>
    <row r="206" spans="1:16" ht="17.25" customHeight="1">
      <c r="A206" s="147">
        <v>17</v>
      </c>
      <c r="B206" s="177" t="s">
        <v>268</v>
      </c>
      <c r="C206" s="172" t="s">
        <v>47</v>
      </c>
      <c r="D206" s="173" t="s">
        <v>248</v>
      </c>
      <c r="E206" s="181"/>
      <c r="F206" s="175">
        <v>1208.98</v>
      </c>
      <c r="G206" s="144">
        <f t="shared" si="31"/>
        <v>1208.98</v>
      </c>
      <c r="H206" s="154">
        <v>1</v>
      </c>
      <c r="I206" s="159">
        <v>100</v>
      </c>
      <c r="J206" s="155"/>
      <c r="K206" s="155"/>
      <c r="L206" s="157">
        <f>100-100</f>
        <v>0</v>
      </c>
      <c r="M206" s="176">
        <v>100</v>
      </c>
      <c r="N206" s="180"/>
      <c r="O206" s="155"/>
      <c r="P206" s="37"/>
    </row>
    <row r="207" spans="1:16" ht="15" hidden="1">
      <c r="A207" s="147">
        <v>21</v>
      </c>
      <c r="B207" s="177" t="s">
        <v>269</v>
      </c>
      <c r="C207" s="172" t="s">
        <v>20</v>
      </c>
      <c r="D207" s="173" t="s">
        <v>248</v>
      </c>
      <c r="E207" s="174">
        <v>45962</v>
      </c>
      <c r="F207" s="175">
        <v>50</v>
      </c>
      <c r="G207" s="144">
        <f t="shared" si="31"/>
        <v>0</v>
      </c>
      <c r="H207" s="154">
        <v>0</v>
      </c>
      <c r="I207" s="159"/>
      <c r="J207" s="155"/>
      <c r="K207" s="155"/>
      <c r="L207" s="157">
        <v>0</v>
      </c>
      <c r="M207" s="176">
        <v>0</v>
      </c>
      <c r="N207" s="180"/>
      <c r="O207" s="155"/>
      <c r="P207" s="37">
        <f t="shared" ref="P207:P213" si="36">L207+M207+N207</f>
        <v>0</v>
      </c>
    </row>
    <row r="208" spans="1:16" ht="15" hidden="1">
      <c r="A208" s="147">
        <v>22</v>
      </c>
      <c r="B208" s="177" t="s">
        <v>270</v>
      </c>
      <c r="C208" s="172" t="s">
        <v>20</v>
      </c>
      <c r="D208" s="173" t="s">
        <v>241</v>
      </c>
      <c r="E208" s="174">
        <v>45931</v>
      </c>
      <c r="F208" s="175">
        <v>220.67</v>
      </c>
      <c r="G208" s="144">
        <f t="shared" si="31"/>
        <v>0</v>
      </c>
      <c r="H208" s="154">
        <v>0</v>
      </c>
      <c r="I208" s="155"/>
      <c r="J208" s="155"/>
      <c r="K208" s="155"/>
      <c r="L208" s="157">
        <v>0</v>
      </c>
      <c r="M208" s="176"/>
      <c r="N208" s="180">
        <v>0</v>
      </c>
      <c r="O208" s="155"/>
      <c r="P208" s="37">
        <f t="shared" si="36"/>
        <v>0</v>
      </c>
    </row>
    <row r="209" spans="1:16" ht="30">
      <c r="A209" s="147">
        <v>18</v>
      </c>
      <c r="B209" s="177" t="s">
        <v>271</v>
      </c>
      <c r="C209" s="172" t="s">
        <v>20</v>
      </c>
      <c r="D209" s="173" t="s">
        <v>241</v>
      </c>
      <c r="E209" s="174">
        <v>45992</v>
      </c>
      <c r="F209" s="175">
        <v>276.39</v>
      </c>
      <c r="G209" s="144">
        <f t="shared" si="31"/>
        <v>3869.46</v>
      </c>
      <c r="H209" s="154">
        <v>14</v>
      </c>
      <c r="I209" s="155"/>
      <c r="J209" s="155"/>
      <c r="K209" s="155"/>
      <c r="L209" s="157">
        <v>0</v>
      </c>
      <c r="M209" s="176">
        <v>14</v>
      </c>
      <c r="N209" s="180"/>
      <c r="O209" s="155"/>
      <c r="P209" s="37">
        <f t="shared" si="36"/>
        <v>14</v>
      </c>
    </row>
    <row r="210" spans="1:16" ht="45">
      <c r="A210" s="147">
        <v>19</v>
      </c>
      <c r="B210" s="177" t="s">
        <v>272</v>
      </c>
      <c r="C210" s="149" t="s">
        <v>23</v>
      </c>
      <c r="D210" s="158" t="s">
        <v>273</v>
      </c>
      <c r="E210" s="182">
        <v>45962</v>
      </c>
      <c r="F210" s="152">
        <v>200</v>
      </c>
      <c r="G210" s="153">
        <f t="shared" si="31"/>
        <v>29000</v>
      </c>
      <c r="H210" s="162">
        <v>145</v>
      </c>
      <c r="I210" s="155"/>
      <c r="J210" s="155"/>
      <c r="K210" s="155"/>
      <c r="L210" s="157">
        <v>0</v>
      </c>
      <c r="M210" s="176">
        <v>145</v>
      </c>
      <c r="N210" s="180">
        <v>0</v>
      </c>
      <c r="O210" s="155"/>
      <c r="P210" s="37">
        <f t="shared" si="36"/>
        <v>145</v>
      </c>
    </row>
    <row r="211" spans="1:16" ht="45">
      <c r="A211" s="147">
        <v>20</v>
      </c>
      <c r="B211" s="177" t="s">
        <v>274</v>
      </c>
      <c r="C211" s="164" t="s">
        <v>23</v>
      </c>
      <c r="D211" s="165" t="s">
        <v>275</v>
      </c>
      <c r="E211" s="166">
        <v>46082</v>
      </c>
      <c r="F211" s="139">
        <v>200</v>
      </c>
      <c r="G211" s="153">
        <f t="shared" si="31"/>
        <v>9600</v>
      </c>
      <c r="H211" s="167">
        <v>48</v>
      </c>
      <c r="I211" s="168"/>
      <c r="J211" s="31"/>
      <c r="K211" s="31"/>
      <c r="L211" s="33">
        <v>0</v>
      </c>
      <c r="M211" s="34">
        <v>48</v>
      </c>
      <c r="N211" s="35">
        <v>0</v>
      </c>
      <c r="O211" s="36"/>
      <c r="P211" s="37">
        <f t="shared" si="36"/>
        <v>48</v>
      </c>
    </row>
    <row r="212" spans="1:16" ht="45">
      <c r="A212" s="147">
        <v>21</v>
      </c>
      <c r="B212" s="177" t="s">
        <v>274</v>
      </c>
      <c r="C212" s="172" t="s">
        <v>23</v>
      </c>
      <c r="D212" s="173" t="s">
        <v>275</v>
      </c>
      <c r="E212" s="179">
        <v>46082</v>
      </c>
      <c r="F212" s="175">
        <v>200</v>
      </c>
      <c r="G212" s="153">
        <f t="shared" si="31"/>
        <v>62400</v>
      </c>
      <c r="H212" s="154">
        <v>312</v>
      </c>
      <c r="I212" s="155"/>
      <c r="J212" s="155"/>
      <c r="K212" s="155"/>
      <c r="L212" s="157"/>
      <c r="M212" s="176">
        <v>212</v>
      </c>
      <c r="N212" s="180">
        <v>100</v>
      </c>
      <c r="O212" s="36"/>
      <c r="P212" s="37">
        <f t="shared" si="36"/>
        <v>312</v>
      </c>
    </row>
    <row r="213" spans="1:16" ht="15">
      <c r="A213" s="147">
        <v>22</v>
      </c>
      <c r="B213" s="177" t="s">
        <v>276</v>
      </c>
      <c r="C213" s="149" t="s">
        <v>20</v>
      </c>
      <c r="D213" s="183"/>
      <c r="E213" s="150"/>
      <c r="F213" s="152">
        <v>50</v>
      </c>
      <c r="G213" s="153">
        <f t="shared" si="31"/>
        <v>55250</v>
      </c>
      <c r="H213" s="162">
        <v>1105</v>
      </c>
      <c r="I213" s="155"/>
      <c r="J213" s="155"/>
      <c r="K213" s="155"/>
      <c r="L213" s="157">
        <v>0</v>
      </c>
      <c r="M213" s="176">
        <v>1105</v>
      </c>
      <c r="N213" s="178"/>
      <c r="O213" s="36"/>
      <c r="P213" s="37">
        <f t="shared" si="36"/>
        <v>1105</v>
      </c>
    </row>
    <row r="214" spans="1:16" ht="14.25">
      <c r="A214" s="147">
        <v>23</v>
      </c>
      <c r="B214" s="184" t="s">
        <v>277</v>
      </c>
      <c r="C214" s="172" t="s">
        <v>118</v>
      </c>
      <c r="D214" s="173" t="s">
        <v>278</v>
      </c>
      <c r="E214" s="185"/>
      <c r="F214" s="175">
        <v>1300</v>
      </c>
      <c r="G214" s="153">
        <f t="shared" si="31"/>
        <v>130000</v>
      </c>
      <c r="H214" s="154">
        <v>100</v>
      </c>
      <c r="I214" s="155"/>
      <c r="J214" s="155"/>
      <c r="K214" s="155"/>
      <c r="L214" s="157"/>
      <c r="M214" s="176">
        <v>100</v>
      </c>
      <c r="N214" s="178"/>
      <c r="O214" s="36"/>
      <c r="P214" s="37"/>
    </row>
    <row r="215" spans="1:16" ht="14.25">
      <c r="A215" s="147">
        <v>24</v>
      </c>
      <c r="B215" s="163" t="s">
        <v>279</v>
      </c>
      <c r="C215" s="164" t="s">
        <v>20</v>
      </c>
      <c r="D215" s="165" t="s">
        <v>40</v>
      </c>
      <c r="E215" s="166">
        <v>46569</v>
      </c>
      <c r="F215" s="139">
        <v>47.22</v>
      </c>
      <c r="G215" s="153">
        <f t="shared" si="31"/>
        <v>9774.5399999999991</v>
      </c>
      <c r="H215" s="167">
        <v>207</v>
      </c>
      <c r="I215" s="168">
        <v>4140</v>
      </c>
      <c r="J215" s="169"/>
      <c r="K215" s="31"/>
      <c r="L215" s="33">
        <f>6000-300*20</f>
        <v>0</v>
      </c>
      <c r="M215" s="34">
        <v>4140</v>
      </c>
      <c r="N215" s="35">
        <v>0</v>
      </c>
      <c r="O215" s="36"/>
      <c r="P215" s="37">
        <f t="shared" ref="P215:P217" si="37">L215+M215+N215</f>
        <v>4140</v>
      </c>
    </row>
    <row r="216" spans="1:16" ht="17.25" customHeight="1">
      <c r="A216" s="147">
        <v>25</v>
      </c>
      <c r="B216" s="163" t="s">
        <v>280</v>
      </c>
      <c r="C216" s="164" t="s">
        <v>20</v>
      </c>
      <c r="D216" s="165" t="s">
        <v>248</v>
      </c>
      <c r="E216" s="166">
        <v>46784</v>
      </c>
      <c r="F216" s="139">
        <v>134.38</v>
      </c>
      <c r="G216" s="153">
        <f t="shared" si="31"/>
        <v>2015.6999999999998</v>
      </c>
      <c r="H216" s="167">
        <v>15</v>
      </c>
      <c r="I216" s="168">
        <v>1500</v>
      </c>
      <c r="J216" s="169"/>
      <c r="K216" s="31"/>
      <c r="L216" s="33">
        <f>500-500</f>
        <v>0</v>
      </c>
      <c r="M216" s="34">
        <v>1500</v>
      </c>
      <c r="N216" s="35"/>
      <c r="O216" s="36"/>
      <c r="P216" s="37">
        <f t="shared" si="37"/>
        <v>1500</v>
      </c>
    </row>
    <row r="217" spans="1:16" ht="14.25">
      <c r="A217" s="147">
        <v>26</v>
      </c>
      <c r="B217" s="163" t="s">
        <v>281</v>
      </c>
      <c r="C217" s="164" t="s">
        <v>266</v>
      </c>
      <c r="D217" s="165"/>
      <c r="E217" s="166">
        <v>46447</v>
      </c>
      <c r="F217" s="139">
        <v>19.71</v>
      </c>
      <c r="G217" s="153">
        <f t="shared" si="31"/>
        <v>1084.05</v>
      </c>
      <c r="H217" s="167">
        <v>55</v>
      </c>
      <c r="I217" s="168"/>
      <c r="J217" s="169"/>
      <c r="K217" s="31"/>
      <c r="L217" s="33">
        <v>0</v>
      </c>
      <c r="M217" s="34">
        <v>55</v>
      </c>
      <c r="N217" s="35">
        <v>0</v>
      </c>
      <c r="O217" s="36"/>
      <c r="P217" s="37">
        <f t="shared" si="37"/>
        <v>55</v>
      </c>
    </row>
    <row r="218" spans="1:16" ht="14.25">
      <c r="A218" s="147">
        <v>27</v>
      </c>
      <c r="B218" s="186" t="s">
        <v>356</v>
      </c>
      <c r="C218" s="172" t="s">
        <v>118</v>
      </c>
      <c r="D218" s="165"/>
      <c r="E218" s="166"/>
      <c r="F218" s="139">
        <v>643.08000000000004</v>
      </c>
      <c r="G218" s="246">
        <f t="shared" si="31"/>
        <v>19292.400000000001</v>
      </c>
      <c r="H218" s="167">
        <v>30</v>
      </c>
      <c r="I218" s="168"/>
      <c r="J218" s="169"/>
      <c r="K218" s="31"/>
      <c r="L218" s="33">
        <f>30-5</f>
        <v>25</v>
      </c>
      <c r="M218" s="34"/>
      <c r="N218" s="35">
        <v>5</v>
      </c>
      <c r="O218" s="36"/>
      <c r="P218" s="37"/>
    </row>
    <row r="219" spans="1:16" ht="28.5">
      <c r="A219" s="147">
        <v>28</v>
      </c>
      <c r="B219" s="186" t="s">
        <v>282</v>
      </c>
      <c r="C219" s="164" t="s">
        <v>118</v>
      </c>
      <c r="D219" s="165" t="s">
        <v>40</v>
      </c>
      <c r="E219" s="166"/>
      <c r="F219" s="139">
        <v>270</v>
      </c>
      <c r="G219" s="153">
        <f t="shared" si="31"/>
        <v>18900</v>
      </c>
      <c r="H219" s="167">
        <v>70</v>
      </c>
      <c r="I219" s="168"/>
      <c r="J219" s="169"/>
      <c r="K219" s="31"/>
      <c r="L219" s="33"/>
      <c r="M219" s="34">
        <v>70</v>
      </c>
      <c r="N219" s="35"/>
      <c r="O219" s="36"/>
      <c r="P219" s="37"/>
    </row>
    <row r="220" spans="1:16" ht="14.25">
      <c r="A220" s="147">
        <v>29</v>
      </c>
      <c r="B220" s="163" t="s">
        <v>283</v>
      </c>
      <c r="C220" s="164" t="s">
        <v>20</v>
      </c>
      <c r="D220" s="165" t="s">
        <v>248</v>
      </c>
      <c r="E220" s="166">
        <v>46235</v>
      </c>
      <c r="F220" s="139">
        <v>94.96</v>
      </c>
      <c r="G220" s="144">
        <f t="shared" si="31"/>
        <v>8641.3599999999988</v>
      </c>
      <c r="H220" s="167">
        <v>91</v>
      </c>
      <c r="I220" s="168">
        <v>9100</v>
      </c>
      <c r="J220" s="169"/>
      <c r="K220" s="31"/>
      <c r="L220" s="33">
        <f>100*100-10000</f>
        <v>0</v>
      </c>
      <c r="M220" s="34">
        <v>9100</v>
      </c>
      <c r="N220" s="35"/>
      <c r="O220" s="36"/>
      <c r="P220" s="37">
        <f t="shared" ref="P220:P221" si="38">L220+M220+N220</f>
        <v>9100</v>
      </c>
    </row>
    <row r="221" spans="1:16" ht="14.25">
      <c r="A221" s="147">
        <v>30</v>
      </c>
      <c r="B221" s="163" t="s">
        <v>284</v>
      </c>
      <c r="C221" s="164" t="s">
        <v>20</v>
      </c>
      <c r="D221" s="165" t="s">
        <v>40</v>
      </c>
      <c r="E221" s="166">
        <v>46113</v>
      </c>
      <c r="F221" s="139">
        <v>98.93</v>
      </c>
      <c r="G221" s="144">
        <f t="shared" si="31"/>
        <v>16125.590000000002</v>
      </c>
      <c r="H221" s="167">
        <v>163</v>
      </c>
      <c r="I221" s="168">
        <v>3260</v>
      </c>
      <c r="J221" s="169"/>
      <c r="K221" s="31"/>
      <c r="L221" s="33">
        <f>4000-200*20</f>
        <v>0</v>
      </c>
      <c r="M221" s="34">
        <v>3260</v>
      </c>
      <c r="N221" s="35"/>
      <c r="O221" s="36"/>
      <c r="P221" s="37">
        <f t="shared" si="38"/>
        <v>3260</v>
      </c>
    </row>
    <row r="222" spans="1:16" ht="14.25">
      <c r="A222" s="147">
        <v>31</v>
      </c>
      <c r="B222" s="187" t="s">
        <v>285</v>
      </c>
      <c r="C222" s="164" t="s">
        <v>23</v>
      </c>
      <c r="D222" s="165" t="s">
        <v>286</v>
      </c>
      <c r="E222" s="166"/>
      <c r="F222" s="139">
        <v>200</v>
      </c>
      <c r="G222" s="144">
        <f t="shared" si="31"/>
        <v>21600</v>
      </c>
      <c r="H222" s="167">
        <v>108</v>
      </c>
      <c r="I222" s="168"/>
      <c r="J222" s="169"/>
      <c r="K222" s="31"/>
      <c r="L222" s="33"/>
      <c r="M222" s="34">
        <f>80+28</f>
        <v>108</v>
      </c>
      <c r="N222" s="35">
        <v>0</v>
      </c>
      <c r="O222" s="36"/>
      <c r="P222" s="37"/>
    </row>
    <row r="223" spans="1:16" ht="14.25">
      <c r="A223" s="147">
        <v>32</v>
      </c>
      <c r="B223" s="163" t="s">
        <v>357</v>
      </c>
      <c r="C223" s="164" t="s">
        <v>118</v>
      </c>
      <c r="D223" s="165"/>
      <c r="E223" s="166"/>
      <c r="F223" s="139">
        <v>5.39</v>
      </c>
      <c r="G223" s="247">
        <f t="shared" si="31"/>
        <v>1078</v>
      </c>
      <c r="H223" s="167">
        <v>200</v>
      </c>
      <c r="I223" s="168"/>
      <c r="J223" s="169"/>
      <c r="K223" s="31"/>
      <c r="L223" s="33">
        <f>200-200</f>
        <v>0</v>
      </c>
      <c r="M223" s="34"/>
      <c r="N223" s="35">
        <v>200</v>
      </c>
      <c r="O223" s="36"/>
      <c r="P223" s="37"/>
    </row>
    <row r="224" spans="1:16" ht="28.5">
      <c r="A224" s="147">
        <v>33</v>
      </c>
      <c r="B224" s="163" t="s">
        <v>287</v>
      </c>
      <c r="C224" s="164" t="s">
        <v>20</v>
      </c>
      <c r="D224" s="165" t="s">
        <v>37</v>
      </c>
      <c r="E224" s="166"/>
      <c r="F224" s="139">
        <v>314.45</v>
      </c>
      <c r="G224" s="144">
        <f t="shared" si="31"/>
        <v>943.34999999999991</v>
      </c>
      <c r="H224" s="167">
        <v>3</v>
      </c>
      <c r="I224" s="168">
        <v>22</v>
      </c>
      <c r="J224" s="169"/>
      <c r="K224" s="31"/>
      <c r="L224" s="33">
        <v>0</v>
      </c>
      <c r="M224" s="34"/>
      <c r="N224" s="35">
        <v>22</v>
      </c>
      <c r="O224" s="36"/>
      <c r="P224" s="37"/>
    </row>
    <row r="225" spans="1:16" ht="14.25">
      <c r="A225" s="147">
        <v>34</v>
      </c>
      <c r="B225" s="163" t="s">
        <v>288</v>
      </c>
      <c r="C225" s="164" t="s">
        <v>20</v>
      </c>
      <c r="D225" s="165" t="s">
        <v>251</v>
      </c>
      <c r="E225" s="166">
        <v>46722</v>
      </c>
      <c r="F225" s="139">
        <v>473.92</v>
      </c>
      <c r="G225" s="144">
        <f t="shared" si="31"/>
        <v>12321.92</v>
      </c>
      <c r="H225" s="167">
        <v>26</v>
      </c>
      <c r="I225" s="168">
        <v>26000</v>
      </c>
      <c r="J225" s="169"/>
      <c r="K225" s="31"/>
      <c r="L225" s="33">
        <f>21000-21*1000</f>
        <v>0</v>
      </c>
      <c r="M225" s="34">
        <f>5000+21*1000</f>
        <v>26000</v>
      </c>
      <c r="N225" s="35">
        <v>0</v>
      </c>
      <c r="O225" s="36"/>
      <c r="P225" s="37">
        <f t="shared" ref="P225:P227" si="39">L225+M225+N225</f>
        <v>26000</v>
      </c>
    </row>
    <row r="226" spans="1:16" ht="14.25">
      <c r="A226" s="147">
        <v>35</v>
      </c>
      <c r="B226" s="163" t="s">
        <v>289</v>
      </c>
      <c r="C226" s="164" t="s">
        <v>20</v>
      </c>
      <c r="D226" s="165" t="s">
        <v>251</v>
      </c>
      <c r="E226" s="166">
        <v>46388</v>
      </c>
      <c r="F226" s="139">
        <v>520.04999999999995</v>
      </c>
      <c r="G226" s="144">
        <f t="shared" si="31"/>
        <v>7800.7499999999991</v>
      </c>
      <c r="H226" s="167">
        <v>15</v>
      </c>
      <c r="I226" s="168">
        <v>14230</v>
      </c>
      <c r="J226" s="169"/>
      <c r="K226" s="31"/>
      <c r="L226" s="33">
        <f>5000-5000</f>
        <v>0</v>
      </c>
      <c r="M226" s="34">
        <v>14230</v>
      </c>
      <c r="N226" s="35"/>
      <c r="O226" s="36"/>
      <c r="P226" s="37">
        <f t="shared" si="39"/>
        <v>14230</v>
      </c>
    </row>
    <row r="227" spans="1:16" ht="14.25">
      <c r="A227" s="147">
        <v>36</v>
      </c>
      <c r="B227" s="163" t="s">
        <v>290</v>
      </c>
      <c r="C227" s="164" t="s">
        <v>20</v>
      </c>
      <c r="D227" s="165" t="s">
        <v>71</v>
      </c>
      <c r="E227" s="166">
        <v>47119</v>
      </c>
      <c r="F227" s="139">
        <v>103.43</v>
      </c>
      <c r="G227" s="144">
        <f t="shared" si="31"/>
        <v>310.29000000000002</v>
      </c>
      <c r="H227" s="167">
        <v>3</v>
      </c>
      <c r="I227" s="168">
        <v>150</v>
      </c>
      <c r="J227" s="169"/>
      <c r="K227" s="31"/>
      <c r="L227" s="33">
        <v>0</v>
      </c>
      <c r="M227" s="34">
        <v>150</v>
      </c>
      <c r="N227" s="35"/>
      <c r="O227" s="36"/>
      <c r="P227" s="37">
        <f t="shared" si="39"/>
        <v>150</v>
      </c>
    </row>
    <row r="228" spans="1:16" ht="14.25">
      <c r="A228" s="147">
        <v>37</v>
      </c>
      <c r="B228" s="188" t="s">
        <v>291</v>
      </c>
      <c r="C228" s="164" t="s">
        <v>20</v>
      </c>
      <c r="D228" s="165" t="s">
        <v>248</v>
      </c>
      <c r="E228" s="166"/>
      <c r="F228" s="139">
        <v>230</v>
      </c>
      <c r="G228" s="144">
        <f t="shared" si="31"/>
        <v>69000</v>
      </c>
      <c r="H228" s="167">
        <v>300</v>
      </c>
      <c r="I228" s="168">
        <v>30000</v>
      </c>
      <c r="J228" s="169"/>
      <c r="K228" s="31"/>
      <c r="L228" s="33"/>
      <c r="M228" s="34">
        <v>300</v>
      </c>
      <c r="N228" s="35"/>
      <c r="O228" s="36"/>
      <c r="P228" s="37"/>
    </row>
    <row r="229" spans="1:16" ht="14.25">
      <c r="A229" s="147">
        <v>38</v>
      </c>
      <c r="B229" s="163" t="s">
        <v>292</v>
      </c>
      <c r="C229" s="164" t="s">
        <v>118</v>
      </c>
      <c r="D229" s="165"/>
      <c r="E229" s="166">
        <v>46327</v>
      </c>
      <c r="F229" s="139">
        <v>37.630000000000003</v>
      </c>
      <c r="G229" s="144">
        <f t="shared" si="31"/>
        <v>5606.8700000000008</v>
      </c>
      <c r="H229" s="167">
        <v>149</v>
      </c>
      <c r="I229" s="168"/>
      <c r="J229" s="169"/>
      <c r="K229" s="31"/>
      <c r="L229" s="33"/>
      <c r="M229" s="34">
        <v>75</v>
      </c>
      <c r="N229" s="35">
        <v>74</v>
      </c>
      <c r="O229" s="36"/>
      <c r="P229" s="37">
        <f t="shared" ref="P229:P230" si="40">L229+M229+N229</f>
        <v>149</v>
      </c>
    </row>
    <row r="230" spans="1:16" ht="28.5" hidden="1">
      <c r="A230" s="147">
        <v>37</v>
      </c>
      <c r="B230" s="163" t="s">
        <v>293</v>
      </c>
      <c r="C230" s="164" t="s">
        <v>20</v>
      </c>
      <c r="D230" s="165" t="s">
        <v>248</v>
      </c>
      <c r="E230" s="166">
        <v>45901</v>
      </c>
      <c r="F230" s="139">
        <v>1537</v>
      </c>
      <c r="G230" s="144">
        <f t="shared" si="31"/>
        <v>0</v>
      </c>
      <c r="H230" s="167">
        <v>0</v>
      </c>
      <c r="I230" s="168">
        <v>0</v>
      </c>
      <c r="J230" s="169"/>
      <c r="K230" s="31"/>
      <c r="L230" s="33">
        <v>0</v>
      </c>
      <c r="M230" s="34">
        <v>0</v>
      </c>
      <c r="N230" s="35"/>
      <c r="O230" s="36"/>
      <c r="P230" s="37">
        <f t="shared" si="40"/>
        <v>0</v>
      </c>
    </row>
    <row r="231" spans="1:16" ht="28.5">
      <c r="A231" s="147">
        <v>39</v>
      </c>
      <c r="B231" s="163" t="s">
        <v>294</v>
      </c>
      <c r="C231" s="164" t="s">
        <v>20</v>
      </c>
      <c r="D231" s="165" t="s">
        <v>248</v>
      </c>
      <c r="E231" s="166"/>
      <c r="F231" s="139">
        <v>1575.02</v>
      </c>
      <c r="G231" s="144">
        <f t="shared" si="31"/>
        <v>4725.0599999999995</v>
      </c>
      <c r="H231" s="167">
        <v>3</v>
      </c>
      <c r="I231" s="168">
        <v>300</v>
      </c>
      <c r="J231" s="169"/>
      <c r="K231" s="31"/>
      <c r="L231" s="33">
        <v>0</v>
      </c>
      <c r="M231" s="34">
        <v>300</v>
      </c>
      <c r="N231" s="35"/>
      <c r="O231" s="36"/>
      <c r="P231" s="37"/>
    </row>
    <row r="232" spans="1:16" ht="14.25">
      <c r="A232" s="147">
        <v>40</v>
      </c>
      <c r="B232" s="163" t="s">
        <v>295</v>
      </c>
      <c r="C232" s="164" t="s">
        <v>20</v>
      </c>
      <c r="D232" s="165" t="s">
        <v>261</v>
      </c>
      <c r="E232" s="166">
        <v>46053</v>
      </c>
      <c r="F232" s="139">
        <v>101.38</v>
      </c>
      <c r="G232" s="144">
        <f t="shared" si="31"/>
        <v>506.9</v>
      </c>
      <c r="H232" s="167">
        <v>5</v>
      </c>
      <c r="I232" s="168">
        <v>490</v>
      </c>
      <c r="J232" s="169"/>
      <c r="K232" s="31"/>
      <c r="L232" s="33"/>
      <c r="M232" s="34">
        <v>490</v>
      </c>
      <c r="N232" s="35"/>
      <c r="O232" s="36"/>
      <c r="P232" s="37"/>
    </row>
    <row r="233" spans="1:16" ht="14.25">
      <c r="A233" s="147">
        <v>41</v>
      </c>
      <c r="B233" s="163" t="s">
        <v>296</v>
      </c>
      <c r="C233" s="164" t="s">
        <v>20</v>
      </c>
      <c r="D233" s="165" t="s">
        <v>261</v>
      </c>
      <c r="E233" s="166">
        <v>46053</v>
      </c>
      <c r="F233" s="139">
        <v>108.13800000000001</v>
      </c>
      <c r="G233" s="144">
        <f t="shared" si="31"/>
        <v>540.69000000000005</v>
      </c>
      <c r="H233" s="167">
        <v>5</v>
      </c>
      <c r="I233" s="168">
        <v>490</v>
      </c>
      <c r="J233" s="169"/>
      <c r="K233" s="31"/>
      <c r="L233" s="33"/>
      <c r="M233" s="34">
        <v>490</v>
      </c>
      <c r="N233" s="35"/>
      <c r="O233" s="36"/>
      <c r="P233" s="37"/>
    </row>
    <row r="234" spans="1:16" ht="14.25">
      <c r="A234" s="147">
        <v>42</v>
      </c>
      <c r="B234" s="163" t="s">
        <v>297</v>
      </c>
      <c r="C234" s="164" t="s">
        <v>20</v>
      </c>
      <c r="D234" s="165" t="s">
        <v>261</v>
      </c>
      <c r="E234" s="166">
        <v>46023</v>
      </c>
      <c r="F234" s="139">
        <v>137.58600000000001</v>
      </c>
      <c r="G234" s="144">
        <f t="shared" si="31"/>
        <v>687.93000000000006</v>
      </c>
      <c r="H234" s="167">
        <v>5</v>
      </c>
      <c r="I234" s="168">
        <v>490</v>
      </c>
      <c r="J234" s="169"/>
      <c r="K234" s="31"/>
      <c r="L234" s="33"/>
      <c r="M234" s="34">
        <v>490</v>
      </c>
      <c r="N234" s="35"/>
      <c r="O234" s="36"/>
      <c r="P234" s="37"/>
    </row>
    <row r="235" spans="1:16" ht="14.25">
      <c r="A235" s="147">
        <v>43</v>
      </c>
      <c r="B235" s="163" t="s">
        <v>298</v>
      </c>
      <c r="C235" s="164" t="s">
        <v>20</v>
      </c>
      <c r="D235" s="165" t="s">
        <v>261</v>
      </c>
      <c r="E235" s="166">
        <v>46023</v>
      </c>
      <c r="F235" s="139">
        <v>292.07</v>
      </c>
      <c r="G235" s="144">
        <f t="shared" si="31"/>
        <v>2920.7</v>
      </c>
      <c r="H235" s="167">
        <v>10</v>
      </c>
      <c r="I235" s="168">
        <v>980</v>
      </c>
      <c r="J235" s="169"/>
      <c r="K235" s="31"/>
      <c r="L235" s="33"/>
      <c r="M235" s="34">
        <v>980</v>
      </c>
      <c r="N235" s="35"/>
      <c r="O235" s="36"/>
      <c r="P235" s="37"/>
    </row>
    <row r="236" spans="1:16" ht="28.5">
      <c r="A236" s="147">
        <v>44</v>
      </c>
      <c r="B236" s="163" t="s">
        <v>299</v>
      </c>
      <c r="C236" s="164" t="s">
        <v>20</v>
      </c>
      <c r="D236" s="165" t="s">
        <v>248</v>
      </c>
      <c r="E236" s="166">
        <v>46082</v>
      </c>
      <c r="F236" s="139">
        <v>45.69</v>
      </c>
      <c r="G236" s="144">
        <f t="shared" si="31"/>
        <v>5802.63</v>
      </c>
      <c r="H236" s="167">
        <v>127</v>
      </c>
      <c r="I236" s="168">
        <v>12630</v>
      </c>
      <c r="J236" s="169"/>
      <c r="K236" s="31"/>
      <c r="L236" s="33">
        <f>15000-150*100</f>
        <v>0</v>
      </c>
      <c r="M236" s="34">
        <v>12630</v>
      </c>
      <c r="N236" s="35"/>
      <c r="O236" s="36"/>
      <c r="P236" s="37">
        <f t="shared" ref="P236:P239" si="41">L236+M236+N236</f>
        <v>12630</v>
      </c>
    </row>
    <row r="237" spans="1:16" ht="14.25">
      <c r="A237" s="147">
        <v>45</v>
      </c>
      <c r="B237" s="163" t="s">
        <v>300</v>
      </c>
      <c r="C237" s="164" t="s">
        <v>20</v>
      </c>
      <c r="D237" s="165" t="s">
        <v>259</v>
      </c>
      <c r="E237" s="166">
        <v>46023</v>
      </c>
      <c r="F237" s="139">
        <v>76.900000000000006</v>
      </c>
      <c r="G237" s="144">
        <f t="shared" si="31"/>
        <v>4690.9000000000005</v>
      </c>
      <c r="H237" s="167">
        <v>61</v>
      </c>
      <c r="I237" s="168">
        <v>1708</v>
      </c>
      <c r="J237" s="169"/>
      <c r="K237" s="31"/>
      <c r="L237" s="33">
        <f>85*28-85*28</f>
        <v>0</v>
      </c>
      <c r="M237" s="34">
        <v>1708</v>
      </c>
      <c r="N237" s="35"/>
      <c r="O237" s="36"/>
      <c r="P237" s="37">
        <f t="shared" si="41"/>
        <v>1708</v>
      </c>
    </row>
    <row r="238" spans="1:16" ht="28.5">
      <c r="A238" s="147">
        <v>46</v>
      </c>
      <c r="B238" s="163" t="s">
        <v>301</v>
      </c>
      <c r="C238" s="164" t="s">
        <v>20</v>
      </c>
      <c r="D238" s="165" t="s">
        <v>259</v>
      </c>
      <c r="E238" s="166">
        <v>45962</v>
      </c>
      <c r="F238" s="139">
        <v>250</v>
      </c>
      <c r="G238" s="144">
        <f t="shared" si="31"/>
        <v>6500</v>
      </c>
      <c r="H238" s="167">
        <v>26</v>
      </c>
      <c r="I238" s="168"/>
      <c r="J238" s="31"/>
      <c r="K238" s="31"/>
      <c r="L238" s="33">
        <v>0</v>
      </c>
      <c r="M238" s="34">
        <v>26</v>
      </c>
      <c r="N238" s="35">
        <v>0</v>
      </c>
      <c r="O238" s="36"/>
      <c r="P238" s="37">
        <f t="shared" si="41"/>
        <v>26</v>
      </c>
    </row>
    <row r="239" spans="1:16" ht="14.25" hidden="1">
      <c r="A239" s="147">
        <v>46</v>
      </c>
      <c r="B239" s="163" t="s">
        <v>302</v>
      </c>
      <c r="C239" s="164" t="s">
        <v>20</v>
      </c>
      <c r="D239" s="165" t="s">
        <v>248</v>
      </c>
      <c r="E239" s="166">
        <v>46447</v>
      </c>
      <c r="F239" s="139">
        <v>111.98</v>
      </c>
      <c r="G239" s="144">
        <f t="shared" si="31"/>
        <v>0</v>
      </c>
      <c r="H239" s="167">
        <v>0</v>
      </c>
      <c r="I239" s="168">
        <v>0</v>
      </c>
      <c r="J239" s="169"/>
      <c r="K239" s="31"/>
      <c r="L239" s="33"/>
      <c r="M239" s="34">
        <v>0</v>
      </c>
      <c r="N239" s="35"/>
      <c r="O239" s="36"/>
      <c r="P239" s="37">
        <f t="shared" si="41"/>
        <v>0</v>
      </c>
    </row>
    <row r="240" spans="1:16" ht="28.5">
      <c r="A240" s="147">
        <v>47</v>
      </c>
      <c r="B240" s="163" t="s">
        <v>303</v>
      </c>
      <c r="C240" s="164" t="s">
        <v>20</v>
      </c>
      <c r="D240" s="165" t="s">
        <v>248</v>
      </c>
      <c r="E240" s="166">
        <v>46023</v>
      </c>
      <c r="F240" s="139">
        <v>89.311000000000007</v>
      </c>
      <c r="G240" s="144">
        <f t="shared" si="31"/>
        <v>893.11000000000013</v>
      </c>
      <c r="H240" s="167">
        <v>10</v>
      </c>
      <c r="I240" s="168">
        <v>1000</v>
      </c>
      <c r="J240" s="169"/>
      <c r="K240" s="31"/>
      <c r="L240" s="33"/>
      <c r="M240" s="34">
        <v>1000</v>
      </c>
      <c r="N240" s="35"/>
      <c r="O240" s="36"/>
      <c r="P240" s="37"/>
    </row>
    <row r="241" spans="1:16" ht="28.5">
      <c r="A241" s="147">
        <v>48</v>
      </c>
      <c r="B241" s="163" t="s">
        <v>304</v>
      </c>
      <c r="C241" s="164" t="s">
        <v>20</v>
      </c>
      <c r="D241" s="165" t="s">
        <v>248</v>
      </c>
      <c r="E241" s="166">
        <v>46023</v>
      </c>
      <c r="F241" s="139">
        <v>103.31100000000001</v>
      </c>
      <c r="G241" s="144">
        <f t="shared" si="31"/>
        <v>1033.1100000000001</v>
      </c>
      <c r="H241" s="167">
        <v>10</v>
      </c>
      <c r="I241" s="168">
        <v>1000</v>
      </c>
      <c r="J241" s="169"/>
      <c r="K241" s="31"/>
      <c r="L241" s="33"/>
      <c r="M241" s="34">
        <v>1000</v>
      </c>
      <c r="N241" s="35"/>
      <c r="O241" s="36"/>
      <c r="P241" s="37"/>
    </row>
    <row r="242" spans="1:16" ht="14.25">
      <c r="A242" s="147">
        <v>49</v>
      </c>
      <c r="B242" s="163" t="s">
        <v>305</v>
      </c>
      <c r="C242" s="164" t="s">
        <v>20</v>
      </c>
      <c r="D242" s="165" t="s">
        <v>306</v>
      </c>
      <c r="E242" s="166">
        <v>46023</v>
      </c>
      <c r="F242" s="139">
        <v>59.38</v>
      </c>
      <c r="G242" s="144">
        <f t="shared" si="31"/>
        <v>296.90000000000003</v>
      </c>
      <c r="H242" s="167">
        <v>5</v>
      </c>
      <c r="I242" s="168">
        <v>210</v>
      </c>
      <c r="J242" s="169"/>
      <c r="K242" s="31"/>
      <c r="L242" s="33"/>
      <c r="M242" s="34">
        <v>210</v>
      </c>
      <c r="N242" s="35"/>
      <c r="O242" s="36"/>
      <c r="P242" s="37"/>
    </row>
    <row r="243" spans="1:16" ht="14.25">
      <c r="A243" s="147">
        <v>50</v>
      </c>
      <c r="B243" s="163" t="s">
        <v>307</v>
      </c>
      <c r="C243" s="164" t="s">
        <v>20</v>
      </c>
      <c r="D243" s="165" t="s">
        <v>248</v>
      </c>
      <c r="E243" s="166">
        <v>46419</v>
      </c>
      <c r="F243" s="139">
        <v>46.11</v>
      </c>
      <c r="G243" s="144">
        <f t="shared" si="31"/>
        <v>1152.75</v>
      </c>
      <c r="H243" s="167">
        <v>25</v>
      </c>
      <c r="I243" s="168">
        <v>2500</v>
      </c>
      <c r="J243" s="169"/>
      <c r="K243" s="31"/>
      <c r="L243" s="33">
        <f>3000-600-24*100</f>
        <v>0</v>
      </c>
      <c r="M243" s="34">
        <v>1900</v>
      </c>
      <c r="N243" s="35">
        <v>600</v>
      </c>
      <c r="O243" s="36"/>
      <c r="P243" s="37">
        <f t="shared" ref="P243:P246" si="42">L243+M243+N243</f>
        <v>2500</v>
      </c>
    </row>
    <row r="244" spans="1:16" ht="14.25">
      <c r="A244" s="147">
        <v>51</v>
      </c>
      <c r="B244" s="163" t="s">
        <v>308</v>
      </c>
      <c r="C244" s="164" t="s">
        <v>20</v>
      </c>
      <c r="D244" s="165" t="s">
        <v>251</v>
      </c>
      <c r="E244" s="166">
        <v>46447</v>
      </c>
      <c r="F244" s="139">
        <v>478.84</v>
      </c>
      <c r="G244" s="144">
        <f t="shared" si="31"/>
        <v>5267.24</v>
      </c>
      <c r="H244" s="167">
        <v>11</v>
      </c>
      <c r="I244" s="168">
        <v>11000</v>
      </c>
      <c r="J244" s="169"/>
      <c r="K244" s="31"/>
      <c r="L244" s="33">
        <f>10*1000-10000</f>
        <v>0</v>
      </c>
      <c r="M244" s="34">
        <v>11000</v>
      </c>
      <c r="N244" s="35"/>
      <c r="O244" s="36"/>
      <c r="P244" s="37">
        <f t="shared" si="42"/>
        <v>11000</v>
      </c>
    </row>
    <row r="245" spans="1:16" ht="14.25">
      <c r="A245" s="147">
        <v>52</v>
      </c>
      <c r="B245" s="163" t="s">
        <v>309</v>
      </c>
      <c r="C245" s="164" t="s">
        <v>266</v>
      </c>
      <c r="D245" s="165" t="s">
        <v>37</v>
      </c>
      <c r="E245" s="166">
        <v>46419</v>
      </c>
      <c r="F245" s="139">
        <v>140.65</v>
      </c>
      <c r="G245" s="144">
        <f t="shared" si="31"/>
        <v>140.65</v>
      </c>
      <c r="H245" s="167">
        <v>1</v>
      </c>
      <c r="I245" s="168">
        <v>10</v>
      </c>
      <c r="J245" s="170"/>
      <c r="K245" s="31"/>
      <c r="L245" s="33">
        <v>0</v>
      </c>
      <c r="M245" s="34">
        <v>10</v>
      </c>
      <c r="N245" s="35"/>
      <c r="O245" s="36"/>
      <c r="P245" s="37">
        <f t="shared" si="42"/>
        <v>10</v>
      </c>
    </row>
    <row r="246" spans="1:16" ht="28.5" hidden="1">
      <c r="A246" s="147">
        <v>53</v>
      </c>
      <c r="B246" s="163" t="s">
        <v>310</v>
      </c>
      <c r="C246" s="164" t="s">
        <v>20</v>
      </c>
      <c r="D246" s="165" t="s">
        <v>37</v>
      </c>
      <c r="E246" s="166">
        <v>45870</v>
      </c>
      <c r="F246" s="139">
        <v>132.69</v>
      </c>
      <c r="G246" s="144">
        <f t="shared" si="31"/>
        <v>0</v>
      </c>
      <c r="H246" s="167">
        <v>0</v>
      </c>
      <c r="I246" s="168">
        <v>0</v>
      </c>
      <c r="J246" s="170"/>
      <c r="K246" s="31"/>
      <c r="L246" s="33">
        <v>0</v>
      </c>
      <c r="M246" s="34">
        <v>0</v>
      </c>
      <c r="N246" s="35"/>
      <c r="O246" s="36"/>
      <c r="P246" s="37">
        <f t="shared" si="42"/>
        <v>0</v>
      </c>
    </row>
    <row r="247" spans="1:16" ht="14.25">
      <c r="A247" s="147">
        <v>53</v>
      </c>
      <c r="B247" s="163" t="s">
        <v>311</v>
      </c>
      <c r="C247" s="164" t="s">
        <v>20</v>
      </c>
      <c r="D247" s="165" t="s">
        <v>40</v>
      </c>
      <c r="E247" s="166">
        <v>46023</v>
      </c>
      <c r="F247" s="139">
        <v>23.172499999999999</v>
      </c>
      <c r="G247" s="144">
        <f t="shared" si="31"/>
        <v>92.69</v>
      </c>
      <c r="H247" s="167">
        <v>4</v>
      </c>
      <c r="I247" s="168">
        <v>80</v>
      </c>
      <c r="J247" s="169"/>
      <c r="K247" s="31"/>
      <c r="L247" s="33"/>
      <c r="M247" s="34"/>
      <c r="N247" s="35">
        <v>80</v>
      </c>
      <c r="O247" s="36"/>
      <c r="P247" s="37"/>
    </row>
    <row r="248" spans="1:16" ht="14.25">
      <c r="A248" s="147">
        <v>54</v>
      </c>
      <c r="B248" s="163" t="s">
        <v>358</v>
      </c>
      <c r="C248" s="164" t="s">
        <v>118</v>
      </c>
      <c r="D248" s="165"/>
      <c r="E248" s="166"/>
      <c r="F248" s="139">
        <v>29.43</v>
      </c>
      <c r="G248" s="247">
        <f t="shared" si="31"/>
        <v>1471.5</v>
      </c>
      <c r="H248" s="167">
        <v>50</v>
      </c>
      <c r="I248" s="168"/>
      <c r="J248" s="169"/>
      <c r="K248" s="31"/>
      <c r="L248" s="33">
        <v>50</v>
      </c>
      <c r="M248" s="34"/>
      <c r="N248" s="35"/>
      <c r="O248" s="36"/>
      <c r="P248" s="37"/>
    </row>
    <row r="249" spans="1:16" ht="28.5">
      <c r="A249" s="147">
        <v>55</v>
      </c>
      <c r="B249" s="163" t="s">
        <v>359</v>
      </c>
      <c r="C249" s="164" t="s">
        <v>118</v>
      </c>
      <c r="D249" s="165"/>
      <c r="E249" s="166"/>
      <c r="F249" s="139">
        <v>22.8</v>
      </c>
      <c r="G249" s="247">
        <f t="shared" si="31"/>
        <v>456</v>
      </c>
      <c r="H249" s="167">
        <v>20</v>
      </c>
      <c r="I249" s="168"/>
      <c r="J249" s="169"/>
      <c r="K249" s="31"/>
      <c r="L249" s="33">
        <v>20</v>
      </c>
      <c r="M249" s="34"/>
      <c r="N249" s="35"/>
      <c r="O249" s="36"/>
      <c r="P249" s="37"/>
    </row>
    <row r="250" spans="1:16" ht="14.25" hidden="1">
      <c r="A250" s="147">
        <v>56</v>
      </c>
      <c r="B250" s="163" t="s">
        <v>312</v>
      </c>
      <c r="C250" s="164" t="s">
        <v>20</v>
      </c>
      <c r="D250" s="165" t="s">
        <v>248</v>
      </c>
      <c r="E250" s="166">
        <v>46388</v>
      </c>
      <c r="F250" s="139">
        <v>116.91</v>
      </c>
      <c r="G250" s="144">
        <f t="shared" si="31"/>
        <v>0</v>
      </c>
      <c r="H250" s="167">
        <v>0</v>
      </c>
      <c r="I250" s="168">
        <v>0</v>
      </c>
      <c r="J250" s="169"/>
      <c r="K250" s="31"/>
      <c r="L250" s="33">
        <v>0</v>
      </c>
      <c r="M250" s="34">
        <v>0</v>
      </c>
      <c r="N250" s="35"/>
      <c r="O250" s="36"/>
      <c r="P250" s="37">
        <f t="shared" ref="P250:P253" si="43">L250+M250+N250</f>
        <v>0</v>
      </c>
    </row>
    <row r="251" spans="1:16" ht="14.25">
      <c r="A251" s="147">
        <v>57</v>
      </c>
      <c r="B251" s="163" t="s">
        <v>312</v>
      </c>
      <c r="C251" s="164" t="s">
        <v>20</v>
      </c>
      <c r="D251" s="165" t="s">
        <v>248</v>
      </c>
      <c r="E251" s="166"/>
      <c r="F251" s="139">
        <v>43</v>
      </c>
      <c r="G251" s="144">
        <f t="shared" si="31"/>
        <v>301</v>
      </c>
      <c r="H251" s="167">
        <v>7</v>
      </c>
      <c r="I251" s="168">
        <v>700</v>
      </c>
      <c r="J251" s="169"/>
      <c r="K251" s="31"/>
      <c r="L251" s="33">
        <f>1000-200-800</f>
        <v>0</v>
      </c>
      <c r="M251" s="34">
        <v>550</v>
      </c>
      <c r="N251" s="35">
        <v>150</v>
      </c>
      <c r="O251" s="36"/>
      <c r="P251" s="37">
        <f t="shared" si="43"/>
        <v>700</v>
      </c>
    </row>
    <row r="252" spans="1:16" ht="18.75" customHeight="1">
      <c r="A252" s="147">
        <v>58</v>
      </c>
      <c r="B252" s="163" t="s">
        <v>313</v>
      </c>
      <c r="C252" s="164" t="s">
        <v>20</v>
      </c>
      <c r="D252" s="165" t="s">
        <v>40</v>
      </c>
      <c r="E252" s="166">
        <v>46023</v>
      </c>
      <c r="F252" s="139">
        <v>22.48</v>
      </c>
      <c r="G252" s="144">
        <f t="shared" si="31"/>
        <v>8295.1200000000008</v>
      </c>
      <c r="H252" s="167">
        <v>369</v>
      </c>
      <c r="I252" s="168">
        <v>7380</v>
      </c>
      <c r="J252" s="169"/>
      <c r="K252" s="31"/>
      <c r="L252" s="33">
        <v>0</v>
      </c>
      <c r="M252" s="34">
        <v>6660</v>
      </c>
      <c r="N252" s="35">
        <v>720</v>
      </c>
      <c r="O252" s="36"/>
      <c r="P252" s="37">
        <f t="shared" si="43"/>
        <v>7380</v>
      </c>
    </row>
    <row r="253" spans="1:16" ht="14.25">
      <c r="A253" s="147">
        <v>59</v>
      </c>
      <c r="B253" s="163" t="s">
        <v>360</v>
      </c>
      <c r="C253" s="164" t="s">
        <v>118</v>
      </c>
      <c r="D253" s="165"/>
      <c r="E253" s="166"/>
      <c r="F253" s="139">
        <v>24.87</v>
      </c>
      <c r="G253" s="247">
        <f t="shared" si="31"/>
        <v>2487</v>
      </c>
      <c r="H253" s="167">
        <v>100</v>
      </c>
      <c r="I253" s="168"/>
      <c r="J253" s="31"/>
      <c r="K253" s="31"/>
      <c r="L253" s="33">
        <v>100</v>
      </c>
      <c r="M253" s="34">
        <v>0</v>
      </c>
      <c r="N253" s="35"/>
      <c r="O253" s="36"/>
      <c r="P253" s="37">
        <f t="shared" si="43"/>
        <v>100</v>
      </c>
    </row>
    <row r="254" spans="1:16" ht="14.25">
      <c r="A254" s="147">
        <v>60</v>
      </c>
      <c r="B254" s="163" t="s">
        <v>361</v>
      </c>
      <c r="C254" s="164" t="s">
        <v>118</v>
      </c>
      <c r="D254" s="165"/>
      <c r="E254" s="166"/>
      <c r="F254" s="139">
        <v>50.57</v>
      </c>
      <c r="G254" s="247">
        <f t="shared" si="31"/>
        <v>5057</v>
      </c>
      <c r="H254" s="167">
        <v>100</v>
      </c>
      <c r="I254" s="168"/>
      <c r="J254" s="31"/>
      <c r="K254" s="31"/>
      <c r="L254" s="33">
        <v>100</v>
      </c>
      <c r="M254" s="34"/>
      <c r="N254" s="35"/>
      <c r="O254" s="36"/>
      <c r="P254" s="37"/>
    </row>
    <row r="255" spans="1:16" ht="14.25">
      <c r="A255" s="147">
        <v>61</v>
      </c>
      <c r="B255" s="248" t="s">
        <v>362</v>
      </c>
      <c r="C255" s="164" t="s">
        <v>118</v>
      </c>
      <c r="D255" s="173"/>
      <c r="E255" s="179"/>
      <c r="F255" s="175">
        <v>34.4</v>
      </c>
      <c r="G255" s="247">
        <f t="shared" si="31"/>
        <v>1720</v>
      </c>
      <c r="H255" s="154">
        <v>50</v>
      </c>
      <c r="I255" s="159"/>
      <c r="J255" s="156"/>
      <c r="K255" s="155"/>
      <c r="L255" s="157">
        <v>50</v>
      </c>
      <c r="M255" s="176"/>
      <c r="N255" s="190"/>
      <c r="O255" s="155"/>
      <c r="P255" s="37"/>
    </row>
    <row r="256" spans="1:16" ht="14.25">
      <c r="A256" s="147">
        <v>62</v>
      </c>
      <c r="B256" s="248" t="s">
        <v>363</v>
      </c>
      <c r="C256" s="164" t="s">
        <v>118</v>
      </c>
      <c r="D256" s="173"/>
      <c r="E256" s="179"/>
      <c r="F256" s="175">
        <v>27.77</v>
      </c>
      <c r="G256" s="247">
        <f t="shared" si="31"/>
        <v>1055.26</v>
      </c>
      <c r="H256" s="154">
        <v>38</v>
      </c>
      <c r="I256" s="159"/>
      <c r="J256" s="156"/>
      <c r="K256" s="155"/>
      <c r="L256" s="157">
        <v>38</v>
      </c>
      <c r="M256" s="176"/>
      <c r="N256" s="190"/>
      <c r="O256" s="155"/>
      <c r="P256" s="37"/>
    </row>
    <row r="257" spans="1:16" ht="14.25">
      <c r="A257" s="147">
        <v>63</v>
      </c>
      <c r="B257" s="189" t="s">
        <v>316</v>
      </c>
      <c r="C257" s="172" t="s">
        <v>20</v>
      </c>
      <c r="D257" s="173" t="s">
        <v>37</v>
      </c>
      <c r="E257" s="179"/>
      <c r="F257" s="175">
        <v>600</v>
      </c>
      <c r="G257" s="144">
        <f t="shared" si="31"/>
        <v>227400</v>
      </c>
      <c r="H257" s="154">
        <v>379</v>
      </c>
      <c r="I257" s="159"/>
      <c r="J257" s="156"/>
      <c r="K257" s="155"/>
      <c r="L257" s="157"/>
      <c r="M257" s="176">
        <v>379</v>
      </c>
      <c r="N257" s="190"/>
      <c r="O257" s="155"/>
      <c r="P257" s="37"/>
    </row>
    <row r="258" spans="1:16" ht="15">
      <c r="A258" s="147">
        <v>64</v>
      </c>
      <c r="B258" s="191" t="s">
        <v>364</v>
      </c>
      <c r="C258" s="164" t="s">
        <v>118</v>
      </c>
      <c r="D258" s="173"/>
      <c r="E258" s="179"/>
      <c r="F258" s="192">
        <v>16.54</v>
      </c>
      <c r="G258" s="247">
        <f t="shared" si="31"/>
        <v>49.62</v>
      </c>
      <c r="H258" s="154">
        <v>3</v>
      </c>
      <c r="I258" s="159"/>
      <c r="J258" s="156"/>
      <c r="K258" s="155"/>
      <c r="L258" s="157">
        <v>3</v>
      </c>
      <c r="M258" s="176"/>
      <c r="N258" s="190"/>
      <c r="O258" s="155"/>
      <c r="P258" s="37"/>
    </row>
    <row r="259" spans="1:16" ht="30">
      <c r="A259" s="147">
        <v>65</v>
      </c>
      <c r="B259" s="191" t="s">
        <v>317</v>
      </c>
      <c r="C259" s="172" t="s">
        <v>20</v>
      </c>
      <c r="D259" s="173" t="s">
        <v>318</v>
      </c>
      <c r="E259" s="179">
        <v>46023</v>
      </c>
      <c r="F259" s="192">
        <v>244.75899999999999</v>
      </c>
      <c r="G259" s="144">
        <f t="shared" si="31"/>
        <v>2447.5899999999997</v>
      </c>
      <c r="H259" s="154">
        <v>10</v>
      </c>
      <c r="I259" s="159">
        <v>560</v>
      </c>
      <c r="J259" s="156"/>
      <c r="K259" s="155"/>
      <c r="L259" s="157"/>
      <c r="M259" s="176">
        <v>560</v>
      </c>
      <c r="N259" s="190"/>
      <c r="O259" s="155"/>
      <c r="P259" s="37"/>
    </row>
    <row r="260" spans="1:16" ht="15">
      <c r="A260" s="147">
        <v>66</v>
      </c>
      <c r="B260" s="191" t="s">
        <v>319</v>
      </c>
      <c r="C260" s="172" t="s">
        <v>20</v>
      </c>
      <c r="D260" s="173" t="s">
        <v>251</v>
      </c>
      <c r="E260" s="179">
        <v>46844</v>
      </c>
      <c r="F260" s="192">
        <v>1648.41</v>
      </c>
      <c r="G260" s="144">
        <f t="shared" si="31"/>
        <v>9890.4600000000009</v>
      </c>
      <c r="H260" s="154">
        <v>6</v>
      </c>
      <c r="I260" s="159">
        <v>5560</v>
      </c>
      <c r="J260" s="156"/>
      <c r="K260" s="155"/>
      <c r="L260" s="157">
        <f>4*1000-4000</f>
        <v>0</v>
      </c>
      <c r="M260" s="176">
        <v>5560</v>
      </c>
      <c r="N260" s="190"/>
      <c r="O260" s="155"/>
      <c r="P260" s="37">
        <f t="shared" ref="P260:P261" si="44">L260+M260+N260</f>
        <v>5560</v>
      </c>
    </row>
    <row r="261" spans="1:16" ht="15">
      <c r="A261" s="147">
        <v>67</v>
      </c>
      <c r="B261" s="191" t="s">
        <v>320</v>
      </c>
      <c r="C261" s="172" t="s">
        <v>266</v>
      </c>
      <c r="D261" s="173" t="s">
        <v>231</v>
      </c>
      <c r="E261" s="179">
        <v>46508</v>
      </c>
      <c r="F261" s="175">
        <v>715.8</v>
      </c>
      <c r="G261" s="144">
        <f t="shared" si="31"/>
        <v>5010.5999999999995</v>
      </c>
      <c r="H261" s="154">
        <v>7</v>
      </c>
      <c r="I261" s="159">
        <v>116</v>
      </c>
      <c r="J261" s="156"/>
      <c r="K261" s="155"/>
      <c r="L261" s="157">
        <f>125-5*25</f>
        <v>0</v>
      </c>
      <c r="M261" s="176">
        <v>116</v>
      </c>
      <c r="N261" s="190"/>
      <c r="O261" s="155"/>
      <c r="P261" s="37">
        <f t="shared" si="44"/>
        <v>116</v>
      </c>
    </row>
    <row r="262" spans="1:16" ht="14.25">
      <c r="A262" s="147">
        <v>68</v>
      </c>
      <c r="B262" s="188" t="s">
        <v>321</v>
      </c>
      <c r="C262" s="172" t="s">
        <v>20</v>
      </c>
      <c r="D262" s="173" t="s">
        <v>241</v>
      </c>
      <c r="E262" s="179"/>
      <c r="F262" s="175">
        <v>20</v>
      </c>
      <c r="G262" s="144">
        <f t="shared" si="31"/>
        <v>6000</v>
      </c>
      <c r="H262" s="154">
        <v>300</v>
      </c>
      <c r="I262" s="159">
        <v>9000</v>
      </c>
      <c r="J262" s="156"/>
      <c r="K262" s="155"/>
      <c r="L262" s="157">
        <v>9000</v>
      </c>
      <c r="M262" s="176"/>
      <c r="N262" s="190"/>
      <c r="O262" s="155"/>
      <c r="P262" s="37"/>
    </row>
    <row r="263" spans="1:16" ht="14.25">
      <c r="A263" s="147">
        <v>69</v>
      </c>
      <c r="B263" s="188" t="s">
        <v>322</v>
      </c>
      <c r="C263" s="172" t="s">
        <v>20</v>
      </c>
      <c r="D263" s="173" t="s">
        <v>37</v>
      </c>
      <c r="E263" s="179"/>
      <c r="F263" s="175">
        <v>80</v>
      </c>
      <c r="G263" s="144">
        <f t="shared" si="31"/>
        <v>24000</v>
      </c>
      <c r="H263" s="154">
        <v>300</v>
      </c>
      <c r="I263" s="159">
        <v>3000</v>
      </c>
      <c r="J263" s="156"/>
      <c r="K263" s="155"/>
      <c r="L263" s="157">
        <v>3000</v>
      </c>
      <c r="M263" s="176"/>
      <c r="N263" s="190"/>
      <c r="O263" s="155"/>
      <c r="P263" s="37"/>
    </row>
    <row r="264" spans="1:16" ht="15">
      <c r="A264" s="147">
        <v>70</v>
      </c>
      <c r="B264" s="191" t="s">
        <v>323</v>
      </c>
      <c r="C264" s="172" t="s">
        <v>20</v>
      </c>
      <c r="D264" s="173" t="s">
        <v>248</v>
      </c>
      <c r="E264" s="179">
        <v>46023</v>
      </c>
      <c r="F264" s="192">
        <v>48.759</v>
      </c>
      <c r="G264" s="144">
        <f t="shared" si="31"/>
        <v>487.59000000000003</v>
      </c>
      <c r="H264" s="154">
        <v>10</v>
      </c>
      <c r="I264" s="159">
        <v>1000</v>
      </c>
      <c r="J264" s="156"/>
      <c r="K264" s="155"/>
      <c r="L264" s="157"/>
      <c r="M264" s="176">
        <v>1000</v>
      </c>
      <c r="N264" s="190"/>
      <c r="O264" s="155"/>
      <c r="P264" s="37"/>
    </row>
    <row r="265" spans="1:16" ht="30">
      <c r="A265" s="147">
        <v>71</v>
      </c>
      <c r="B265" s="191" t="s">
        <v>324</v>
      </c>
      <c r="C265" s="172" t="s">
        <v>20</v>
      </c>
      <c r="D265" s="173" t="s">
        <v>37</v>
      </c>
      <c r="E265" s="179">
        <v>46266</v>
      </c>
      <c r="F265" s="192">
        <v>430.92</v>
      </c>
      <c r="G265" s="144">
        <f t="shared" si="31"/>
        <v>861.84</v>
      </c>
      <c r="H265" s="154">
        <v>2</v>
      </c>
      <c r="I265" s="159">
        <v>15</v>
      </c>
      <c r="J265" s="156"/>
      <c r="K265" s="155"/>
      <c r="L265" s="157">
        <v>0</v>
      </c>
      <c r="M265" s="176">
        <v>15</v>
      </c>
      <c r="N265" s="190"/>
      <c r="O265" s="155"/>
      <c r="P265" s="37">
        <f t="shared" ref="P265:P280" si="45">L265+M265+N265</f>
        <v>15</v>
      </c>
    </row>
    <row r="266" spans="1:16" ht="15" hidden="1">
      <c r="A266" s="147">
        <v>64</v>
      </c>
      <c r="B266" s="160" t="s">
        <v>325</v>
      </c>
      <c r="C266" s="149" t="s">
        <v>326</v>
      </c>
      <c r="D266" s="183"/>
      <c r="E266" s="150"/>
      <c r="F266" s="161">
        <v>7.36</v>
      </c>
      <c r="G266" s="153">
        <f t="shared" si="31"/>
        <v>0</v>
      </c>
      <c r="H266" s="162">
        <v>0</v>
      </c>
      <c r="I266" s="155"/>
      <c r="J266" s="155"/>
      <c r="K266" s="155"/>
      <c r="L266" s="157">
        <v>0</v>
      </c>
      <c r="M266" s="176">
        <v>0</v>
      </c>
      <c r="N266" s="190"/>
      <c r="O266" s="155"/>
      <c r="P266" s="37">
        <f t="shared" si="45"/>
        <v>0</v>
      </c>
    </row>
    <row r="267" spans="1:16" ht="30" hidden="1">
      <c r="A267" s="147">
        <v>65</v>
      </c>
      <c r="B267" s="177" t="s">
        <v>327</v>
      </c>
      <c r="C267" s="149" t="s">
        <v>20</v>
      </c>
      <c r="D267" s="183"/>
      <c r="E267" s="150"/>
      <c r="F267" s="152">
        <v>500</v>
      </c>
      <c r="G267" s="153">
        <f t="shared" si="31"/>
        <v>0</v>
      </c>
      <c r="H267" s="162">
        <v>0</v>
      </c>
      <c r="I267" s="155"/>
      <c r="J267" s="155"/>
      <c r="K267" s="155"/>
      <c r="L267" s="157">
        <v>0</v>
      </c>
      <c r="M267" s="176">
        <v>0</v>
      </c>
      <c r="N267" s="190"/>
      <c r="O267" s="155"/>
      <c r="P267" s="37">
        <f t="shared" si="45"/>
        <v>0</v>
      </c>
    </row>
    <row r="268" spans="1:16" ht="30">
      <c r="A268" s="147">
        <v>72</v>
      </c>
      <c r="B268" s="177" t="s">
        <v>328</v>
      </c>
      <c r="C268" s="149" t="s">
        <v>20</v>
      </c>
      <c r="D268" s="183"/>
      <c r="E268" s="150"/>
      <c r="F268" s="152">
        <v>300</v>
      </c>
      <c r="G268" s="153">
        <f t="shared" si="31"/>
        <v>27000</v>
      </c>
      <c r="H268" s="162">
        <v>90</v>
      </c>
      <c r="I268" s="155"/>
      <c r="J268" s="155"/>
      <c r="K268" s="155"/>
      <c r="L268" s="157">
        <v>0</v>
      </c>
      <c r="M268" s="176">
        <v>90</v>
      </c>
      <c r="N268" s="190"/>
      <c r="O268" s="155"/>
      <c r="P268" s="37">
        <f t="shared" si="45"/>
        <v>90</v>
      </c>
    </row>
    <row r="269" spans="1:16" ht="30" hidden="1">
      <c r="A269" s="147">
        <v>73</v>
      </c>
      <c r="B269" s="177" t="s">
        <v>329</v>
      </c>
      <c r="C269" s="149" t="s">
        <v>20</v>
      </c>
      <c r="D269" s="183"/>
      <c r="E269" s="182">
        <v>45962</v>
      </c>
      <c r="F269" s="152">
        <v>300</v>
      </c>
      <c r="G269" s="153">
        <f t="shared" si="31"/>
        <v>0</v>
      </c>
      <c r="H269" s="162">
        <v>0</v>
      </c>
      <c r="I269" s="155"/>
      <c r="J269" s="155"/>
      <c r="K269" s="155"/>
      <c r="L269" s="157">
        <v>0</v>
      </c>
      <c r="M269" s="176">
        <v>0</v>
      </c>
      <c r="N269" s="190"/>
      <c r="O269" s="155"/>
      <c r="P269" s="37">
        <f t="shared" si="45"/>
        <v>0</v>
      </c>
    </row>
    <row r="270" spans="1:16" ht="14.25">
      <c r="A270" s="147">
        <v>74</v>
      </c>
      <c r="B270" s="163" t="s">
        <v>330</v>
      </c>
      <c r="C270" s="164" t="s">
        <v>20</v>
      </c>
      <c r="D270" s="165" t="s">
        <v>248</v>
      </c>
      <c r="E270" s="166">
        <v>46023</v>
      </c>
      <c r="F270" s="139">
        <v>831.3</v>
      </c>
      <c r="G270" s="144">
        <f t="shared" si="31"/>
        <v>831.3</v>
      </c>
      <c r="H270" s="167">
        <v>1</v>
      </c>
      <c r="I270" s="168">
        <v>100</v>
      </c>
      <c r="J270" s="31"/>
      <c r="K270" s="31"/>
      <c r="L270" s="33">
        <v>0</v>
      </c>
      <c r="M270" s="34">
        <v>100</v>
      </c>
      <c r="N270" s="193"/>
      <c r="O270" s="36"/>
      <c r="P270" s="37">
        <f t="shared" si="45"/>
        <v>100</v>
      </c>
    </row>
    <row r="271" spans="1:16" ht="15">
      <c r="A271" s="147">
        <v>75</v>
      </c>
      <c r="B271" s="163" t="s">
        <v>330</v>
      </c>
      <c r="C271" s="164" t="s">
        <v>20</v>
      </c>
      <c r="D271" s="165" t="s">
        <v>248</v>
      </c>
      <c r="E271" s="194">
        <v>46023</v>
      </c>
      <c r="F271" s="195">
        <v>831.37</v>
      </c>
      <c r="G271" s="144">
        <f t="shared" si="31"/>
        <v>2494.11</v>
      </c>
      <c r="H271" s="196">
        <v>3</v>
      </c>
      <c r="I271" s="197">
        <v>300</v>
      </c>
      <c r="J271" s="156"/>
      <c r="K271" s="155"/>
      <c r="L271" s="157">
        <f>300-300</f>
        <v>0</v>
      </c>
      <c r="M271" s="176">
        <v>300</v>
      </c>
      <c r="N271" s="198">
        <v>0</v>
      </c>
      <c r="O271" s="155"/>
      <c r="P271" s="37">
        <f t="shared" si="45"/>
        <v>300</v>
      </c>
    </row>
    <row r="272" spans="1:16" ht="15">
      <c r="A272" s="147">
        <v>76</v>
      </c>
      <c r="B272" s="199" t="s">
        <v>331</v>
      </c>
      <c r="C272" s="164" t="s">
        <v>20</v>
      </c>
      <c r="D272" s="165" t="s">
        <v>248</v>
      </c>
      <c r="E272" s="194"/>
      <c r="F272" s="195">
        <v>637.64</v>
      </c>
      <c r="G272" s="144">
        <f t="shared" si="31"/>
        <v>63764</v>
      </c>
      <c r="H272" s="196">
        <v>100</v>
      </c>
      <c r="I272" s="197">
        <v>10000</v>
      </c>
      <c r="J272" s="156"/>
      <c r="K272" s="155"/>
      <c r="L272" s="157"/>
      <c r="M272" s="176">
        <v>10000</v>
      </c>
      <c r="N272" s="198"/>
      <c r="O272" s="155"/>
      <c r="P272" s="37">
        <f t="shared" si="45"/>
        <v>10000</v>
      </c>
    </row>
    <row r="273" spans="1:16" ht="15">
      <c r="A273" s="147">
        <v>77</v>
      </c>
      <c r="B273" s="199" t="s">
        <v>332</v>
      </c>
      <c r="C273" s="164" t="s">
        <v>20</v>
      </c>
      <c r="D273" s="165" t="s">
        <v>248</v>
      </c>
      <c r="E273" s="194">
        <v>46143</v>
      </c>
      <c r="F273" s="195">
        <v>164.84</v>
      </c>
      <c r="G273" s="144">
        <f t="shared" si="31"/>
        <v>494.52</v>
      </c>
      <c r="H273" s="196">
        <v>3</v>
      </c>
      <c r="I273" s="197">
        <v>230</v>
      </c>
      <c r="J273" s="156"/>
      <c r="K273" s="155"/>
      <c r="L273" s="157">
        <f>200-200</f>
        <v>0</v>
      </c>
      <c r="M273" s="176">
        <v>230</v>
      </c>
      <c r="N273" s="198"/>
      <c r="O273" s="155"/>
      <c r="P273" s="37">
        <f t="shared" si="45"/>
        <v>230</v>
      </c>
    </row>
    <row r="274" spans="1:16" ht="14.25">
      <c r="A274" s="147">
        <v>78</v>
      </c>
      <c r="B274" s="163" t="s">
        <v>334</v>
      </c>
      <c r="C274" s="164" t="s">
        <v>157</v>
      </c>
      <c r="D274" s="165" t="s">
        <v>335</v>
      </c>
      <c r="E274" s="165" t="s">
        <v>336</v>
      </c>
      <c r="F274" s="139">
        <v>1</v>
      </c>
      <c r="G274" s="153">
        <f t="shared" si="31"/>
        <v>940</v>
      </c>
      <c r="H274" s="167">
        <v>940</v>
      </c>
      <c r="I274" s="168"/>
      <c r="J274" s="31"/>
      <c r="K274" s="31"/>
      <c r="L274" s="33">
        <f>1000-200</f>
        <v>800</v>
      </c>
      <c r="M274" s="34">
        <v>140</v>
      </c>
      <c r="N274" s="193"/>
      <c r="O274" s="36"/>
      <c r="P274" s="37">
        <f t="shared" si="45"/>
        <v>940</v>
      </c>
    </row>
    <row r="275" spans="1:16" ht="42.75">
      <c r="A275" s="147">
        <v>79</v>
      </c>
      <c r="B275" s="201" t="s">
        <v>337</v>
      </c>
      <c r="C275" s="202" t="s">
        <v>118</v>
      </c>
      <c r="D275" s="203"/>
      <c r="E275" s="166">
        <v>46844</v>
      </c>
      <c r="F275" s="139">
        <v>21.67</v>
      </c>
      <c r="G275" s="204">
        <f t="shared" ref="G275:G277" si="46">F275*H275</f>
        <v>96214.8</v>
      </c>
      <c r="H275" s="167">
        <v>4440</v>
      </c>
      <c r="I275" s="168"/>
      <c r="J275" s="31"/>
      <c r="K275" s="31"/>
      <c r="L275" s="33">
        <f>4500-500</f>
        <v>4000</v>
      </c>
      <c r="M275" s="34">
        <v>240</v>
      </c>
      <c r="N275" s="193">
        <v>200</v>
      </c>
      <c r="O275" s="36"/>
      <c r="P275" s="37">
        <f t="shared" si="45"/>
        <v>4440</v>
      </c>
    </row>
    <row r="276" spans="1:16" ht="25.5">
      <c r="A276" s="147">
        <v>80</v>
      </c>
      <c r="B276" s="205" t="s">
        <v>338</v>
      </c>
      <c r="C276" s="202" t="s">
        <v>118</v>
      </c>
      <c r="D276" s="203"/>
      <c r="E276" s="166"/>
      <c r="F276" s="139">
        <v>26.35</v>
      </c>
      <c r="G276" s="204">
        <f t="shared" si="46"/>
        <v>52.7</v>
      </c>
      <c r="H276" s="167">
        <v>2</v>
      </c>
      <c r="I276" s="168"/>
      <c r="J276" s="31"/>
      <c r="K276" s="31"/>
      <c r="L276" s="33">
        <v>0</v>
      </c>
      <c r="M276" s="34">
        <v>0</v>
      </c>
      <c r="N276" s="193">
        <v>2</v>
      </c>
      <c r="O276" s="36"/>
      <c r="P276" s="37">
        <f t="shared" si="45"/>
        <v>2</v>
      </c>
    </row>
    <row r="277" spans="1:16" ht="28.5">
      <c r="A277" s="147">
        <v>81</v>
      </c>
      <c r="B277" s="206" t="s">
        <v>339</v>
      </c>
      <c r="C277" s="202" t="s">
        <v>118</v>
      </c>
      <c r="D277" s="203"/>
      <c r="E277" s="166">
        <v>46327</v>
      </c>
      <c r="F277" s="139">
        <v>2</v>
      </c>
      <c r="G277" s="204">
        <f t="shared" si="46"/>
        <v>800</v>
      </c>
      <c r="H277" s="167">
        <v>400</v>
      </c>
      <c r="I277" s="207"/>
      <c r="J277" s="47"/>
      <c r="K277" s="31"/>
      <c r="L277" s="33">
        <v>0</v>
      </c>
      <c r="M277" s="34">
        <v>300</v>
      </c>
      <c r="N277" s="193">
        <v>100</v>
      </c>
      <c r="O277" s="36"/>
      <c r="P277" s="37">
        <f t="shared" si="45"/>
        <v>400</v>
      </c>
    </row>
    <row r="278" spans="1:16" ht="28.5">
      <c r="A278" s="147">
        <v>82</v>
      </c>
      <c r="B278" s="206" t="s">
        <v>340</v>
      </c>
      <c r="C278" s="202" t="s">
        <v>118</v>
      </c>
      <c r="D278" s="203"/>
      <c r="E278" s="166">
        <v>46023</v>
      </c>
      <c r="F278" s="208">
        <v>5.27</v>
      </c>
      <c r="G278" s="144">
        <f t="shared" ref="G278:G288" si="47">H278*F278</f>
        <v>105.39999999999999</v>
      </c>
      <c r="H278" s="167">
        <v>20</v>
      </c>
      <c r="I278" s="207"/>
      <c r="J278" s="47"/>
      <c r="K278" s="31"/>
      <c r="L278" s="33">
        <f>20-20</f>
        <v>0</v>
      </c>
      <c r="M278" s="34">
        <v>20</v>
      </c>
      <c r="N278" s="193">
        <v>0</v>
      </c>
      <c r="O278" s="36"/>
      <c r="P278" s="37">
        <f t="shared" si="45"/>
        <v>20</v>
      </c>
    </row>
    <row r="279" spans="1:16" ht="28.5">
      <c r="A279" s="147">
        <v>83</v>
      </c>
      <c r="B279" s="163" t="s">
        <v>341</v>
      </c>
      <c r="C279" s="164" t="s">
        <v>118</v>
      </c>
      <c r="D279" s="165"/>
      <c r="E279" s="209">
        <v>45992</v>
      </c>
      <c r="F279" s="139">
        <v>5</v>
      </c>
      <c r="G279" s="144">
        <f t="shared" si="47"/>
        <v>2295</v>
      </c>
      <c r="H279" s="167">
        <v>459</v>
      </c>
      <c r="I279" s="168"/>
      <c r="J279" s="31"/>
      <c r="K279" s="31"/>
      <c r="L279" s="33">
        <f>559-100-400</f>
        <v>59</v>
      </c>
      <c r="M279" s="34">
        <v>300</v>
      </c>
      <c r="N279" s="193">
        <v>100</v>
      </c>
      <c r="O279" s="36"/>
      <c r="P279" s="37">
        <f t="shared" si="45"/>
        <v>459</v>
      </c>
    </row>
    <row r="280" spans="1:16" ht="14.25">
      <c r="A280" s="147">
        <v>84</v>
      </c>
      <c r="B280" s="163" t="s">
        <v>342</v>
      </c>
      <c r="C280" s="164" t="s">
        <v>343</v>
      </c>
      <c r="D280" s="165" t="s">
        <v>248</v>
      </c>
      <c r="E280" s="165" t="s">
        <v>336</v>
      </c>
      <c r="F280" s="139">
        <v>1.5</v>
      </c>
      <c r="G280" s="144">
        <f t="shared" si="47"/>
        <v>1050</v>
      </c>
      <c r="H280" s="167">
        <v>700</v>
      </c>
      <c r="I280" s="168"/>
      <c r="J280" s="31"/>
      <c r="K280" s="31"/>
      <c r="L280" s="33">
        <v>700</v>
      </c>
      <c r="M280" s="34"/>
      <c r="N280" s="193"/>
      <c r="O280" s="36"/>
      <c r="P280" s="37">
        <f t="shared" si="45"/>
        <v>700</v>
      </c>
    </row>
    <row r="281" spans="1:16" ht="15">
      <c r="A281" s="147">
        <v>85</v>
      </c>
      <c r="B281" s="199" t="s">
        <v>367</v>
      </c>
      <c r="C281" s="249" t="s">
        <v>118</v>
      </c>
      <c r="D281" s="250"/>
      <c r="E281" s="165" t="s">
        <v>336</v>
      </c>
      <c r="F281" s="195">
        <v>100</v>
      </c>
      <c r="G281" s="144">
        <f t="shared" si="47"/>
        <v>31000</v>
      </c>
      <c r="H281" s="196">
        <v>310</v>
      </c>
      <c r="I281" s="214"/>
      <c r="J281" s="215"/>
      <c r="K281" s="216"/>
      <c r="L281" s="217">
        <v>310</v>
      </c>
      <c r="M281" s="218"/>
      <c r="N281" s="219"/>
      <c r="O281" s="216"/>
      <c r="P281" s="37"/>
    </row>
    <row r="282" spans="1:16" ht="26.25">
      <c r="A282" s="147">
        <v>86</v>
      </c>
      <c r="B282" s="210" t="s">
        <v>344</v>
      </c>
      <c r="C282" s="211" t="s">
        <v>118</v>
      </c>
      <c r="D282" s="212"/>
      <c r="E282" s="213" t="s">
        <v>345</v>
      </c>
      <c r="F282" s="251">
        <v>100</v>
      </c>
      <c r="G282" s="153">
        <f t="shared" si="47"/>
        <v>142400</v>
      </c>
      <c r="H282" s="211">
        <v>1424</v>
      </c>
      <c r="I282" s="214"/>
      <c r="J282" s="215"/>
      <c r="K282" s="216"/>
      <c r="L282" s="217">
        <f>1857-324-324-180</f>
        <v>1029</v>
      </c>
      <c r="M282" s="218">
        <v>185</v>
      </c>
      <c r="N282" s="219">
        <v>210</v>
      </c>
      <c r="O282" s="216"/>
      <c r="P282" s="37">
        <f t="shared" ref="P282:P283" si="48">L282+M282+N282</f>
        <v>1424</v>
      </c>
    </row>
    <row r="283" spans="1:16" ht="14.25">
      <c r="A283" s="147">
        <v>87</v>
      </c>
      <c r="B283" s="163" t="s">
        <v>346</v>
      </c>
      <c r="C283" s="164" t="s">
        <v>118</v>
      </c>
      <c r="D283" s="165"/>
      <c r="E283" s="166"/>
      <c r="F283" s="139">
        <v>61</v>
      </c>
      <c r="G283" s="144">
        <f t="shared" si="47"/>
        <v>915</v>
      </c>
      <c r="H283" s="167">
        <v>15</v>
      </c>
      <c r="I283" s="168"/>
      <c r="J283" s="31"/>
      <c r="K283" s="31"/>
      <c r="L283" s="33"/>
      <c r="M283" s="34"/>
      <c r="N283" s="193"/>
      <c r="P283" s="37">
        <f t="shared" si="48"/>
        <v>0</v>
      </c>
    </row>
    <row r="284" spans="1:16" ht="28.5">
      <c r="A284" s="147">
        <v>88</v>
      </c>
      <c r="B284" s="163" t="s">
        <v>368</v>
      </c>
      <c r="C284" s="164" t="s">
        <v>118</v>
      </c>
      <c r="D284" s="165"/>
      <c r="E284" s="165" t="s">
        <v>336</v>
      </c>
      <c r="F284" s="139">
        <v>5</v>
      </c>
      <c r="G284" s="144">
        <f t="shared" si="47"/>
        <v>3100</v>
      </c>
      <c r="H284" s="167">
        <v>620</v>
      </c>
      <c r="I284" s="168"/>
      <c r="J284" s="31"/>
      <c r="K284" s="31"/>
      <c r="L284" s="33">
        <v>620</v>
      </c>
      <c r="M284" s="34"/>
      <c r="N284" s="193"/>
      <c r="P284" s="37"/>
    </row>
    <row r="285" spans="1:16" ht="14.25">
      <c r="A285" s="147">
        <v>89</v>
      </c>
      <c r="B285" s="163" t="s">
        <v>347</v>
      </c>
      <c r="C285" s="164" t="s">
        <v>118</v>
      </c>
      <c r="D285" s="165"/>
      <c r="E285" s="166"/>
      <c r="F285" s="139">
        <v>87</v>
      </c>
      <c r="G285" s="144">
        <f t="shared" si="47"/>
        <v>261</v>
      </c>
      <c r="H285" s="167">
        <v>3</v>
      </c>
      <c r="I285" s="168"/>
      <c r="J285" s="31"/>
      <c r="K285" s="31"/>
      <c r="L285" s="33"/>
      <c r="M285" s="34">
        <v>8</v>
      </c>
      <c r="N285" s="193"/>
      <c r="O285" s="36"/>
      <c r="P285" s="37">
        <f t="shared" ref="P285:P286" si="49">L285+M285+N285</f>
        <v>8</v>
      </c>
    </row>
    <row r="286" spans="1:16" ht="28.5">
      <c r="A286" s="147">
        <v>90</v>
      </c>
      <c r="B286" s="163" t="s">
        <v>348</v>
      </c>
      <c r="C286" s="164" t="s">
        <v>20</v>
      </c>
      <c r="D286" s="165" t="s">
        <v>349</v>
      </c>
      <c r="E286" s="166"/>
      <c r="F286" s="139">
        <v>72.62</v>
      </c>
      <c r="G286" s="144">
        <f t="shared" si="47"/>
        <v>72.62</v>
      </c>
      <c r="H286" s="167">
        <v>1</v>
      </c>
      <c r="I286" s="168">
        <v>400</v>
      </c>
      <c r="J286" s="31"/>
      <c r="K286" s="31"/>
      <c r="L286" s="33">
        <f>500-100</f>
        <v>400</v>
      </c>
      <c r="M286" s="34">
        <v>0</v>
      </c>
      <c r="N286" s="193">
        <v>0</v>
      </c>
      <c r="O286" s="36"/>
      <c r="P286" s="37">
        <f t="shared" si="49"/>
        <v>400</v>
      </c>
    </row>
    <row r="287" spans="1:16" ht="14.25">
      <c r="A287" s="147">
        <v>91</v>
      </c>
      <c r="B287" s="163" t="s">
        <v>369</v>
      </c>
      <c r="C287" s="164" t="s">
        <v>118</v>
      </c>
      <c r="D287" s="165"/>
      <c r="E287" s="166"/>
      <c r="F287" s="139">
        <v>1.1000000000000001</v>
      </c>
      <c r="G287" s="144">
        <f t="shared" si="47"/>
        <v>550</v>
      </c>
      <c r="H287" s="167">
        <v>500</v>
      </c>
      <c r="I287" s="168"/>
      <c r="J287" s="31"/>
      <c r="K287" s="31"/>
      <c r="L287" s="33">
        <v>500</v>
      </c>
      <c r="M287" s="34"/>
      <c r="N287" s="193"/>
      <c r="O287" s="36"/>
      <c r="P287" s="37"/>
    </row>
    <row r="288" spans="1:16" ht="28.5">
      <c r="A288" s="147">
        <v>92</v>
      </c>
      <c r="B288" s="201" t="s">
        <v>350</v>
      </c>
      <c r="C288" s="202" t="s">
        <v>20</v>
      </c>
      <c r="D288" s="220" t="s">
        <v>248</v>
      </c>
      <c r="E288" s="166">
        <v>46692</v>
      </c>
      <c r="F288" s="139">
        <v>202.71</v>
      </c>
      <c r="G288" s="144">
        <f t="shared" si="47"/>
        <v>608.13</v>
      </c>
      <c r="H288" s="167">
        <v>3</v>
      </c>
      <c r="I288" s="168">
        <v>300</v>
      </c>
      <c r="J288" s="31"/>
      <c r="K288" s="31"/>
      <c r="L288" s="33">
        <f>300</f>
        <v>300</v>
      </c>
      <c r="M288" s="34">
        <v>0</v>
      </c>
      <c r="N288" s="193">
        <v>0</v>
      </c>
      <c r="O288" s="36"/>
      <c r="P288" s="37">
        <f t="shared" ref="P288:P290" si="50">L288+M288+N288</f>
        <v>300</v>
      </c>
    </row>
    <row r="289" spans="1:16" ht="28.5">
      <c r="A289" s="147">
        <v>93</v>
      </c>
      <c r="B289" s="201" t="s">
        <v>350</v>
      </c>
      <c r="C289" s="202" t="s">
        <v>20</v>
      </c>
      <c r="D289" s="220"/>
      <c r="E289" s="166">
        <v>46692</v>
      </c>
      <c r="F289" s="139">
        <v>190.5</v>
      </c>
      <c r="G289" s="204">
        <f t="shared" ref="G289:G290" si="51">F289*H289</f>
        <v>571.5</v>
      </c>
      <c r="H289" s="167">
        <v>3</v>
      </c>
      <c r="I289" s="168">
        <v>229</v>
      </c>
      <c r="J289" s="31"/>
      <c r="K289" s="31"/>
      <c r="L289" s="33">
        <v>0</v>
      </c>
      <c r="M289" s="34">
        <v>229</v>
      </c>
      <c r="N289" s="193">
        <v>0</v>
      </c>
      <c r="O289" s="36"/>
      <c r="P289" s="37">
        <f t="shared" si="50"/>
        <v>229</v>
      </c>
    </row>
    <row r="290" spans="1:16" ht="34.5" customHeight="1">
      <c r="A290" s="221">
        <v>94</v>
      </c>
      <c r="B290" s="143" t="s">
        <v>351</v>
      </c>
      <c r="C290" s="222" t="s">
        <v>118</v>
      </c>
      <c r="D290" s="223"/>
      <c r="E290" s="224"/>
      <c r="F290" s="225">
        <v>178.06</v>
      </c>
      <c r="G290" s="204">
        <f t="shared" si="51"/>
        <v>2492.84</v>
      </c>
      <c r="H290" s="225">
        <v>14</v>
      </c>
      <c r="I290" s="207"/>
      <c r="J290" s="47"/>
      <c r="K290" s="31"/>
      <c r="L290" s="33"/>
      <c r="M290" s="34">
        <v>8</v>
      </c>
      <c r="N290" s="35">
        <v>6</v>
      </c>
      <c r="O290" s="36"/>
      <c r="P290" s="37">
        <f t="shared" si="50"/>
        <v>14</v>
      </c>
    </row>
    <row r="291" spans="1:16" ht="12.75">
      <c r="A291" s="226"/>
      <c r="P291" s="227"/>
    </row>
    <row r="292" spans="1:16" ht="16.5" customHeight="1">
      <c r="A292" s="228"/>
      <c r="P292" s="227"/>
    </row>
    <row r="293" spans="1:16" ht="12.75">
      <c r="A293" s="228"/>
      <c r="M293" s="159">
        <v>0</v>
      </c>
      <c r="N293" s="159">
        <v>0</v>
      </c>
      <c r="O293" s="155"/>
      <c r="P293" s="227">
        <f>L293+M293+N293</f>
        <v>0</v>
      </c>
    </row>
    <row r="294" spans="1:16" ht="15">
      <c r="A294" s="228"/>
      <c r="B294" s="229"/>
      <c r="C294" s="230"/>
      <c r="D294" s="231"/>
      <c r="E294" s="231"/>
      <c r="F294" s="232"/>
      <c r="G294" s="233"/>
      <c r="H294" s="234"/>
      <c r="I294" s="155"/>
      <c r="J294" s="155"/>
      <c r="K294" s="155"/>
      <c r="L294" s="159"/>
      <c r="M294" s="159"/>
      <c r="N294" s="155"/>
      <c r="O294" s="155"/>
      <c r="P294" s="227"/>
    </row>
    <row r="295" spans="1:16" ht="15">
      <c r="A295" s="228"/>
      <c r="B295" s="229"/>
      <c r="C295" s="230"/>
      <c r="D295" s="231"/>
      <c r="E295" s="231"/>
      <c r="F295" s="232"/>
      <c r="G295" s="233"/>
      <c r="H295" s="234"/>
      <c r="I295" s="155"/>
      <c r="J295" s="155"/>
      <c r="K295" s="155"/>
      <c r="L295" s="159"/>
      <c r="M295" s="159"/>
      <c r="N295" s="155"/>
      <c r="O295" s="155"/>
      <c r="P295" s="227"/>
    </row>
    <row r="296" spans="1:16" ht="15">
      <c r="A296" s="228"/>
      <c r="B296" s="229"/>
      <c r="C296" s="230"/>
      <c r="D296" s="231"/>
      <c r="E296" s="231"/>
      <c r="F296" s="232"/>
      <c r="G296" s="233"/>
      <c r="H296" s="234"/>
      <c r="I296" s="155"/>
      <c r="J296" s="155"/>
      <c r="K296" s="155"/>
      <c r="L296" s="159"/>
      <c r="M296" s="159"/>
      <c r="N296" s="155"/>
      <c r="O296" s="155"/>
      <c r="P296" s="227"/>
    </row>
    <row r="297" spans="1:16" ht="12.75">
      <c r="A297" s="228"/>
      <c r="N297" s="155"/>
      <c r="O297" s="155"/>
      <c r="P297" s="155"/>
    </row>
    <row r="298" spans="1:16" ht="12.75">
      <c r="A298" s="228"/>
      <c r="O298" s="155"/>
      <c r="P298" s="155"/>
    </row>
    <row r="299" spans="1:16" ht="12.75">
      <c r="A299" s="235"/>
      <c r="B299" s="236"/>
      <c r="C299" s="231"/>
      <c r="D299" s="231"/>
      <c r="E299" s="231"/>
      <c r="F299" s="231"/>
      <c r="G299" s="231"/>
      <c r="H299" s="237"/>
      <c r="I299" s="155"/>
      <c r="J299" s="155"/>
      <c r="K299" s="155"/>
      <c r="L299" s="155"/>
      <c r="M299" s="155"/>
      <c r="N299" s="155"/>
      <c r="O299" s="155"/>
      <c r="P299" s="155"/>
    </row>
    <row r="300" spans="1:16" ht="12.75">
      <c r="A300" s="235"/>
      <c r="B300" s="236"/>
      <c r="C300" s="231"/>
      <c r="D300" s="231"/>
      <c r="E300" s="231"/>
      <c r="F300" s="231"/>
      <c r="G300" s="231"/>
      <c r="H300" s="237"/>
      <c r="I300" s="155"/>
      <c r="J300" s="155"/>
      <c r="K300" s="155"/>
      <c r="L300" s="155"/>
      <c r="M300" s="155"/>
      <c r="N300" s="155"/>
      <c r="O300" s="155"/>
      <c r="P300" s="155"/>
    </row>
    <row r="301" spans="1:16" ht="12.75">
      <c r="A301" s="235"/>
      <c r="B301" s="236"/>
      <c r="C301" s="231"/>
      <c r="D301" s="231"/>
      <c r="E301" s="231"/>
      <c r="F301" s="231"/>
      <c r="G301" s="231"/>
      <c r="H301" s="237"/>
      <c r="I301" s="155"/>
      <c r="J301" s="155"/>
      <c r="K301" s="155"/>
      <c r="L301" s="155"/>
      <c r="M301" s="155"/>
      <c r="N301" s="155"/>
      <c r="O301" s="155"/>
      <c r="P301" s="155"/>
    </row>
    <row r="302" spans="1:16" ht="12.75">
      <c r="B302" s="238"/>
      <c r="H302" s="155"/>
      <c r="I302" s="155"/>
      <c r="J302" s="155"/>
      <c r="K302" s="155"/>
      <c r="L302" s="155"/>
      <c r="M302" s="155"/>
      <c r="N302" s="155"/>
      <c r="O302" s="155"/>
      <c r="P302" s="155"/>
    </row>
    <row r="303" spans="1:16" ht="12.75">
      <c r="B303" s="238"/>
      <c r="H303" s="155"/>
      <c r="I303" s="155"/>
      <c r="J303" s="155"/>
      <c r="K303" s="155"/>
      <c r="L303" s="155"/>
      <c r="M303" s="155"/>
      <c r="N303" s="155"/>
      <c r="O303" s="155"/>
      <c r="P303" s="155"/>
    </row>
    <row r="304" spans="1:16" ht="12.75">
      <c r="B304" s="238"/>
      <c r="H304" s="155"/>
      <c r="I304" s="155"/>
      <c r="J304" s="155"/>
      <c r="K304" s="155"/>
      <c r="L304" s="155"/>
      <c r="M304" s="155"/>
      <c r="N304" s="155"/>
      <c r="O304" s="155"/>
      <c r="P304" s="155"/>
    </row>
    <row r="305" spans="2:16" ht="12.75">
      <c r="B305" s="238"/>
      <c r="H305" s="155"/>
      <c r="I305" s="155"/>
      <c r="J305" s="155"/>
      <c r="K305" s="155"/>
      <c r="L305" s="155"/>
      <c r="M305" s="155"/>
      <c r="N305" s="155"/>
      <c r="O305" s="155"/>
      <c r="P305" s="155"/>
    </row>
    <row r="306" spans="2:16" ht="12.75">
      <c r="B306" s="238"/>
      <c r="H306" s="155"/>
      <c r="I306" s="155"/>
      <c r="J306" s="155"/>
      <c r="K306" s="155"/>
      <c r="L306" s="155"/>
      <c r="M306" s="155"/>
      <c r="N306" s="155"/>
      <c r="O306" s="155"/>
      <c r="P306" s="155"/>
    </row>
    <row r="307" spans="2:16" ht="12.75">
      <c r="B307" s="238"/>
      <c r="H307" s="155"/>
      <c r="I307" s="155"/>
      <c r="J307" s="155"/>
      <c r="K307" s="155"/>
      <c r="L307" s="155"/>
      <c r="M307" s="155"/>
      <c r="N307" s="155"/>
      <c r="O307" s="155"/>
      <c r="P307" s="155"/>
    </row>
    <row r="308" spans="2:16" ht="12.75">
      <c r="B308" s="238"/>
      <c r="H308" s="155"/>
      <c r="I308" s="155"/>
      <c r="J308" s="155"/>
      <c r="K308" s="155"/>
      <c r="L308" s="155"/>
      <c r="M308" s="155"/>
      <c r="N308" s="155"/>
      <c r="O308" s="155"/>
      <c r="P308" s="155"/>
    </row>
    <row r="309" spans="2:16" ht="12.75">
      <c r="B309" s="238"/>
      <c r="H309" s="155"/>
      <c r="I309" s="155"/>
      <c r="J309" s="155"/>
      <c r="K309" s="155"/>
      <c r="L309" s="155"/>
      <c r="M309" s="155"/>
      <c r="N309" s="155"/>
      <c r="O309" s="155"/>
      <c r="P309" s="155"/>
    </row>
    <row r="310" spans="2:16" ht="12.75">
      <c r="B310" s="238"/>
      <c r="H310" s="155"/>
      <c r="I310" s="155"/>
      <c r="J310" s="155"/>
      <c r="K310" s="155"/>
      <c r="L310" s="155"/>
      <c r="M310" s="155"/>
      <c r="N310" s="155"/>
      <c r="O310" s="155"/>
      <c r="P310" s="155"/>
    </row>
    <row r="311" spans="2:16" ht="12.75">
      <c r="B311" s="238"/>
      <c r="H311" s="155"/>
      <c r="I311" s="155"/>
      <c r="J311" s="155"/>
      <c r="K311" s="155"/>
      <c r="L311" s="155"/>
      <c r="M311" s="155"/>
      <c r="N311" s="155"/>
      <c r="O311" s="155"/>
      <c r="P311" s="155"/>
    </row>
    <row r="312" spans="2:16" ht="12.75">
      <c r="B312" s="238"/>
      <c r="H312" s="155"/>
      <c r="I312" s="155"/>
      <c r="J312" s="155"/>
      <c r="K312" s="155"/>
      <c r="L312" s="155"/>
      <c r="M312" s="155"/>
      <c r="N312" s="155"/>
      <c r="O312" s="155"/>
      <c r="P312" s="155"/>
    </row>
    <row r="313" spans="2:16" ht="12.75">
      <c r="B313" s="238"/>
      <c r="H313" s="155"/>
      <c r="I313" s="155"/>
      <c r="J313" s="155"/>
      <c r="K313" s="155"/>
      <c r="L313" s="155"/>
      <c r="M313" s="155"/>
      <c r="N313" s="155"/>
      <c r="O313" s="155"/>
      <c r="P313" s="155"/>
    </row>
    <row r="314" spans="2:16" ht="12.75">
      <c r="B314" s="238"/>
      <c r="H314" s="155"/>
      <c r="I314" s="155"/>
      <c r="J314" s="155"/>
      <c r="K314" s="155"/>
      <c r="L314" s="155"/>
      <c r="M314" s="155"/>
      <c r="N314" s="155"/>
      <c r="O314" s="155"/>
      <c r="P314" s="155"/>
    </row>
    <row r="315" spans="2:16" ht="12.75">
      <c r="B315" s="238"/>
      <c r="H315" s="155"/>
      <c r="I315" s="155"/>
      <c r="J315" s="155"/>
      <c r="K315" s="155"/>
      <c r="L315" s="155"/>
      <c r="M315" s="155"/>
      <c r="N315" s="155"/>
      <c r="O315" s="155"/>
      <c r="P315" s="155"/>
    </row>
    <row r="316" spans="2:16" ht="12.75">
      <c r="B316" s="238"/>
      <c r="H316" s="155"/>
      <c r="I316" s="155"/>
      <c r="J316" s="155"/>
      <c r="K316" s="155"/>
      <c r="L316" s="155"/>
      <c r="M316" s="155"/>
      <c r="N316" s="155"/>
      <c r="O316" s="155"/>
      <c r="P316" s="155"/>
    </row>
    <row r="317" spans="2:16" ht="12.75">
      <c r="B317" s="238"/>
      <c r="H317" s="155"/>
      <c r="I317" s="155"/>
      <c r="J317" s="155"/>
      <c r="K317" s="155"/>
      <c r="L317" s="155"/>
      <c r="M317" s="155"/>
      <c r="N317" s="155"/>
      <c r="O317" s="155"/>
      <c r="P317" s="155"/>
    </row>
    <row r="318" spans="2:16" ht="12.75">
      <c r="B318" s="238"/>
      <c r="H318" s="155"/>
      <c r="I318" s="155"/>
      <c r="J318" s="155"/>
      <c r="K318" s="155"/>
      <c r="L318" s="155"/>
      <c r="M318" s="155"/>
      <c r="N318" s="155"/>
      <c r="O318" s="155"/>
      <c r="P318" s="155"/>
    </row>
    <row r="319" spans="2:16" ht="12.75">
      <c r="B319" s="238"/>
      <c r="H319" s="155"/>
      <c r="I319" s="155"/>
      <c r="J319" s="155"/>
      <c r="K319" s="155"/>
      <c r="L319" s="155"/>
      <c r="M319" s="155"/>
      <c r="N319" s="155"/>
      <c r="O319" s="155"/>
      <c r="P319" s="155"/>
    </row>
    <row r="320" spans="2:16" ht="12.75">
      <c r="B320" s="238"/>
      <c r="H320" s="155"/>
      <c r="I320" s="155"/>
      <c r="J320" s="155"/>
      <c r="K320" s="155"/>
      <c r="L320" s="155"/>
      <c r="M320" s="155"/>
      <c r="N320" s="155"/>
      <c r="O320" s="155"/>
      <c r="P320" s="155"/>
    </row>
    <row r="321" spans="2:16" ht="12.75">
      <c r="B321" s="238"/>
      <c r="H321" s="155"/>
      <c r="I321" s="155"/>
      <c r="J321" s="155"/>
      <c r="K321" s="155"/>
      <c r="L321" s="155"/>
      <c r="M321" s="155"/>
      <c r="N321" s="155"/>
      <c r="O321" s="155"/>
      <c r="P321" s="155"/>
    </row>
    <row r="322" spans="2:16" ht="12.75">
      <c r="B322" s="238"/>
      <c r="H322" s="155"/>
      <c r="I322" s="155"/>
      <c r="J322" s="155"/>
      <c r="K322" s="155"/>
      <c r="L322" s="155"/>
      <c r="M322" s="155"/>
      <c r="N322" s="155"/>
      <c r="O322" s="155"/>
      <c r="P322" s="155"/>
    </row>
    <row r="323" spans="2:16" ht="12.75">
      <c r="B323" s="238"/>
      <c r="H323" s="155"/>
      <c r="I323" s="155"/>
      <c r="J323" s="155"/>
      <c r="K323" s="155"/>
      <c r="L323" s="155"/>
      <c r="M323" s="155"/>
      <c r="N323" s="155"/>
      <c r="O323" s="155"/>
      <c r="P323" s="155"/>
    </row>
    <row r="324" spans="2:16" ht="12.75">
      <c r="B324" s="238"/>
      <c r="H324" s="155"/>
      <c r="I324" s="155"/>
      <c r="J324" s="155"/>
      <c r="K324" s="155"/>
      <c r="L324" s="155"/>
      <c r="M324" s="155"/>
      <c r="N324" s="155"/>
      <c r="O324" s="155"/>
      <c r="P324" s="155"/>
    </row>
    <row r="325" spans="2:16" ht="12.75">
      <c r="B325" s="238"/>
      <c r="H325" s="155"/>
      <c r="I325" s="155"/>
      <c r="J325" s="155"/>
      <c r="K325" s="155"/>
      <c r="L325" s="155"/>
      <c r="M325" s="155"/>
      <c r="N325" s="155"/>
      <c r="O325" s="155"/>
      <c r="P325" s="155"/>
    </row>
    <row r="326" spans="2:16" ht="12.75">
      <c r="B326" s="238"/>
      <c r="H326" s="155"/>
      <c r="I326" s="155"/>
      <c r="J326" s="155"/>
      <c r="K326" s="155"/>
      <c r="L326" s="155"/>
      <c r="M326" s="155"/>
      <c r="N326" s="155"/>
      <c r="O326" s="155"/>
      <c r="P326" s="155"/>
    </row>
    <row r="327" spans="2:16" ht="12.75">
      <c r="B327" s="238"/>
      <c r="H327" s="155"/>
      <c r="I327" s="155"/>
      <c r="J327" s="155"/>
      <c r="K327" s="155"/>
      <c r="L327" s="155"/>
      <c r="M327" s="155"/>
      <c r="N327" s="155"/>
      <c r="O327" s="155"/>
      <c r="P327" s="155"/>
    </row>
    <row r="328" spans="2:16" ht="12.75">
      <c r="B328" s="238"/>
      <c r="H328" s="155"/>
      <c r="I328" s="155"/>
      <c r="J328" s="155"/>
      <c r="K328" s="155"/>
      <c r="L328" s="155"/>
      <c r="M328" s="155"/>
      <c r="N328" s="155"/>
      <c r="O328" s="155"/>
      <c r="P328" s="155"/>
    </row>
    <row r="329" spans="2:16" ht="12.75">
      <c r="B329" s="238"/>
      <c r="H329" s="155"/>
      <c r="I329" s="155"/>
      <c r="J329" s="155"/>
      <c r="K329" s="155"/>
      <c r="L329" s="155"/>
      <c r="M329" s="155"/>
      <c r="N329" s="155"/>
      <c r="O329" s="155"/>
      <c r="P329" s="155"/>
    </row>
    <row r="330" spans="2:16" ht="12.75">
      <c r="B330" s="238"/>
      <c r="H330" s="155"/>
      <c r="I330" s="155"/>
      <c r="J330" s="155"/>
      <c r="K330" s="155"/>
      <c r="L330" s="155"/>
      <c r="M330" s="155"/>
      <c r="N330" s="155"/>
      <c r="O330" s="155"/>
      <c r="P330" s="155"/>
    </row>
    <row r="331" spans="2:16" ht="12.75">
      <c r="B331" s="238"/>
      <c r="H331" s="155"/>
      <c r="I331" s="155"/>
      <c r="J331" s="155"/>
      <c r="K331" s="155"/>
      <c r="L331" s="155"/>
      <c r="M331" s="155"/>
      <c r="N331" s="155"/>
      <c r="O331" s="155"/>
      <c r="P331" s="155"/>
    </row>
    <row r="332" spans="2:16" ht="12.75">
      <c r="B332" s="238"/>
      <c r="H332" s="155"/>
      <c r="I332" s="155"/>
      <c r="J332" s="155"/>
      <c r="K332" s="155"/>
      <c r="L332" s="155"/>
      <c r="M332" s="155"/>
      <c r="N332" s="155"/>
      <c r="O332" s="155"/>
      <c r="P332" s="155"/>
    </row>
    <row r="333" spans="2:16" ht="12.75">
      <c r="B333" s="238"/>
      <c r="H333" s="155"/>
      <c r="I333" s="155"/>
      <c r="J333" s="155"/>
      <c r="K333" s="155"/>
      <c r="L333" s="155"/>
      <c r="M333" s="155"/>
      <c r="N333" s="155"/>
      <c r="O333" s="155"/>
      <c r="P333" s="155"/>
    </row>
    <row r="334" spans="2:16" ht="12.75">
      <c r="B334" s="238"/>
      <c r="H334" s="155"/>
      <c r="I334" s="155"/>
      <c r="J334" s="155"/>
      <c r="K334" s="155"/>
      <c r="L334" s="155"/>
      <c r="M334" s="155"/>
      <c r="N334" s="155"/>
      <c r="O334" s="155"/>
      <c r="P334" s="155"/>
    </row>
    <row r="335" spans="2:16" ht="12.75">
      <c r="B335" s="238"/>
      <c r="H335" s="155"/>
      <c r="I335" s="155"/>
      <c r="J335" s="155"/>
      <c r="K335" s="155"/>
      <c r="L335" s="155"/>
      <c r="M335" s="155"/>
      <c r="N335" s="155"/>
      <c r="O335" s="155"/>
      <c r="P335" s="155"/>
    </row>
    <row r="336" spans="2:16" ht="12.75">
      <c r="B336" s="238"/>
      <c r="H336" s="155"/>
      <c r="I336" s="155"/>
      <c r="J336" s="155"/>
      <c r="K336" s="155"/>
      <c r="L336" s="155"/>
      <c r="M336" s="155"/>
      <c r="N336" s="155"/>
      <c r="O336" s="155"/>
      <c r="P336" s="155"/>
    </row>
    <row r="337" spans="2:16" ht="12.75">
      <c r="B337" s="238"/>
      <c r="H337" s="155"/>
      <c r="I337" s="155"/>
      <c r="J337" s="155"/>
      <c r="K337" s="155"/>
      <c r="L337" s="155"/>
      <c r="M337" s="155"/>
      <c r="N337" s="155"/>
      <c r="O337" s="155"/>
      <c r="P337" s="155"/>
    </row>
    <row r="338" spans="2:16" ht="12.75">
      <c r="B338" s="238"/>
      <c r="H338" s="155"/>
      <c r="I338" s="239"/>
      <c r="L338" s="240"/>
      <c r="M338" s="241"/>
      <c r="N338" s="178"/>
      <c r="O338" s="242"/>
      <c r="P338" s="243"/>
    </row>
    <row r="339" spans="2:16" ht="12.75">
      <c r="B339" s="238"/>
      <c r="H339" s="155"/>
      <c r="I339" s="239"/>
      <c r="L339" s="240"/>
      <c r="M339" s="241"/>
      <c r="N339" s="178"/>
      <c r="O339" s="242"/>
      <c r="P339" s="243"/>
    </row>
    <row r="340" spans="2:16" ht="12.75">
      <c r="B340" s="238"/>
      <c r="H340" s="155"/>
      <c r="I340" s="239"/>
      <c r="L340" s="240"/>
      <c r="M340" s="241"/>
      <c r="N340" s="178"/>
      <c r="O340" s="242"/>
      <c r="P340" s="243"/>
    </row>
    <row r="341" spans="2:16" ht="12.75">
      <c r="B341" s="238"/>
      <c r="H341" s="155"/>
      <c r="I341" s="239"/>
      <c r="L341" s="240"/>
      <c r="M341" s="241"/>
      <c r="N341" s="178"/>
      <c r="O341" s="242"/>
      <c r="P341" s="243"/>
    </row>
    <row r="342" spans="2:16" ht="12.75">
      <c r="B342" s="238"/>
      <c r="H342" s="155"/>
      <c r="I342" s="239"/>
      <c r="L342" s="240"/>
      <c r="M342" s="241"/>
      <c r="N342" s="178"/>
      <c r="O342" s="242"/>
      <c r="P342" s="243"/>
    </row>
    <row r="343" spans="2:16" ht="12.75">
      <c r="B343" s="238"/>
      <c r="H343" s="155"/>
      <c r="I343" s="239"/>
      <c r="L343" s="240"/>
      <c r="M343" s="241"/>
      <c r="N343" s="178"/>
      <c r="O343" s="242"/>
      <c r="P343" s="243"/>
    </row>
    <row r="344" spans="2:16" ht="12.75">
      <c r="B344" s="238"/>
      <c r="H344" s="155"/>
      <c r="I344" s="239"/>
      <c r="L344" s="240"/>
      <c r="M344" s="241"/>
      <c r="N344" s="178"/>
      <c r="O344" s="242"/>
      <c r="P344" s="243"/>
    </row>
    <row r="345" spans="2:16" ht="12.75">
      <c r="B345" s="238"/>
      <c r="H345" s="155"/>
      <c r="I345" s="239"/>
      <c r="L345" s="240"/>
      <c r="M345" s="241"/>
      <c r="N345" s="178"/>
      <c r="O345" s="242"/>
      <c r="P345" s="243"/>
    </row>
    <row r="346" spans="2:16" ht="12.75">
      <c r="B346" s="238"/>
      <c r="H346" s="155"/>
      <c r="I346" s="239"/>
      <c r="L346" s="240"/>
      <c r="M346" s="241"/>
      <c r="N346" s="178"/>
      <c r="O346" s="242"/>
      <c r="P346" s="243"/>
    </row>
    <row r="347" spans="2:16" ht="12.75">
      <c r="B347" s="238"/>
      <c r="H347" s="155"/>
      <c r="I347" s="239"/>
      <c r="L347" s="240"/>
      <c r="M347" s="241"/>
      <c r="N347" s="178"/>
      <c r="O347" s="242"/>
      <c r="P347" s="243"/>
    </row>
    <row r="348" spans="2:16" ht="12.75">
      <c r="B348" s="238"/>
      <c r="H348" s="155"/>
      <c r="I348" s="239"/>
      <c r="L348" s="240"/>
      <c r="M348" s="241"/>
      <c r="N348" s="178"/>
      <c r="O348" s="242"/>
      <c r="P348" s="243"/>
    </row>
    <row r="349" spans="2:16" ht="12.75">
      <c r="B349" s="238"/>
      <c r="H349" s="155"/>
      <c r="I349" s="239"/>
      <c r="L349" s="240"/>
      <c r="M349" s="241"/>
      <c r="N349" s="178"/>
      <c r="O349" s="242"/>
      <c r="P349" s="243"/>
    </row>
    <row r="350" spans="2:16" ht="12.75">
      <c r="B350" s="238"/>
      <c r="H350" s="155"/>
      <c r="I350" s="239"/>
      <c r="L350" s="240"/>
      <c r="M350" s="241"/>
      <c r="N350" s="178"/>
      <c r="O350" s="242"/>
      <c r="P350" s="243"/>
    </row>
    <row r="351" spans="2:16" ht="12.75">
      <c r="B351" s="238"/>
      <c r="H351" s="155"/>
      <c r="I351" s="239"/>
      <c r="L351" s="240"/>
      <c r="M351" s="241"/>
      <c r="N351" s="178"/>
      <c r="O351" s="242"/>
      <c r="P351" s="243"/>
    </row>
    <row r="352" spans="2:16" ht="12.75">
      <c r="B352" s="238"/>
      <c r="H352" s="155"/>
      <c r="I352" s="239"/>
      <c r="L352" s="240"/>
      <c r="M352" s="241"/>
      <c r="N352" s="178"/>
      <c r="O352" s="242"/>
      <c r="P352" s="243"/>
    </row>
    <row r="353" spans="2:16" ht="12.75">
      <c r="B353" s="238"/>
      <c r="H353" s="155"/>
      <c r="I353" s="239"/>
      <c r="L353" s="240"/>
      <c r="M353" s="241"/>
      <c r="N353" s="178"/>
      <c r="O353" s="242"/>
      <c r="P353" s="243"/>
    </row>
    <row r="354" spans="2:16" ht="12.75">
      <c r="B354" s="238"/>
      <c r="H354" s="155"/>
      <c r="I354" s="239"/>
      <c r="L354" s="240"/>
      <c r="M354" s="241"/>
      <c r="N354" s="178"/>
      <c r="O354" s="242"/>
      <c r="P354" s="243"/>
    </row>
    <row r="355" spans="2:16" ht="12.75">
      <c r="B355" s="238"/>
      <c r="H355" s="155"/>
      <c r="I355" s="239"/>
      <c r="L355" s="240"/>
      <c r="M355" s="241"/>
      <c r="N355" s="178"/>
      <c r="O355" s="242"/>
      <c r="P355" s="243"/>
    </row>
    <row r="356" spans="2:16" ht="12.75">
      <c r="B356" s="238"/>
      <c r="H356" s="155"/>
      <c r="I356" s="239"/>
      <c r="L356" s="240"/>
      <c r="M356" s="241"/>
      <c r="N356" s="178"/>
      <c r="O356" s="242"/>
      <c r="P356" s="243"/>
    </row>
    <row r="357" spans="2:16" ht="12.75">
      <c r="B357" s="238"/>
      <c r="H357" s="155"/>
      <c r="I357" s="239"/>
      <c r="L357" s="240"/>
      <c r="M357" s="241"/>
      <c r="N357" s="178"/>
      <c r="O357" s="242"/>
      <c r="P357" s="243"/>
    </row>
    <row r="358" spans="2:16" ht="12.75">
      <c r="B358" s="238"/>
      <c r="H358" s="155"/>
      <c r="I358" s="239"/>
      <c r="L358" s="240"/>
      <c r="M358" s="241"/>
      <c r="N358" s="178"/>
      <c r="O358" s="242"/>
      <c r="P358" s="243"/>
    </row>
    <row r="359" spans="2:16" ht="12.75">
      <c r="B359" s="238"/>
      <c r="H359" s="155"/>
      <c r="I359" s="239"/>
      <c r="L359" s="240"/>
      <c r="M359" s="241"/>
      <c r="N359" s="178"/>
      <c r="O359" s="242"/>
      <c r="P359" s="243"/>
    </row>
    <row r="360" spans="2:16" ht="12.75">
      <c r="B360" s="238"/>
      <c r="H360" s="155"/>
      <c r="I360" s="239"/>
      <c r="L360" s="240"/>
      <c r="M360" s="241"/>
      <c r="N360" s="178"/>
      <c r="O360" s="242"/>
      <c r="P360" s="243"/>
    </row>
    <row r="361" spans="2:16" ht="12.75">
      <c r="B361" s="238"/>
      <c r="H361" s="155"/>
      <c r="I361" s="239"/>
      <c r="L361" s="240"/>
      <c r="M361" s="241"/>
      <c r="N361" s="178"/>
      <c r="O361" s="242"/>
      <c r="P361" s="243"/>
    </row>
    <row r="362" spans="2:16" ht="12.75">
      <c r="B362" s="238"/>
      <c r="H362" s="155"/>
      <c r="I362" s="239"/>
      <c r="L362" s="240"/>
      <c r="M362" s="241"/>
      <c r="N362" s="178"/>
      <c r="O362" s="242"/>
      <c r="P362" s="243"/>
    </row>
    <row r="363" spans="2:16" ht="12.75">
      <c r="B363" s="238"/>
      <c r="H363" s="155"/>
      <c r="I363" s="239"/>
      <c r="L363" s="240"/>
      <c r="M363" s="241"/>
      <c r="N363" s="178"/>
      <c r="O363" s="242"/>
      <c r="P363" s="243"/>
    </row>
    <row r="364" spans="2:16" ht="12.75">
      <c r="B364" s="238"/>
      <c r="H364" s="155"/>
      <c r="I364" s="239"/>
      <c r="L364" s="240"/>
      <c r="M364" s="241"/>
      <c r="N364" s="178"/>
      <c r="O364" s="242"/>
      <c r="P364" s="243"/>
    </row>
    <row r="365" spans="2:16" ht="12.75">
      <c r="B365" s="238"/>
      <c r="H365" s="155"/>
      <c r="I365" s="239"/>
      <c r="L365" s="240"/>
      <c r="M365" s="241"/>
      <c r="N365" s="178"/>
      <c r="O365" s="242"/>
      <c r="P365" s="243"/>
    </row>
    <row r="366" spans="2:16" ht="12.75">
      <c r="B366" s="238"/>
      <c r="H366" s="155"/>
      <c r="I366" s="239"/>
      <c r="L366" s="240"/>
      <c r="M366" s="241"/>
      <c r="N366" s="178"/>
      <c r="O366" s="242"/>
      <c r="P366" s="243"/>
    </row>
    <row r="367" spans="2:16" ht="12.75">
      <c r="B367" s="238"/>
      <c r="H367" s="155"/>
      <c r="I367" s="239"/>
      <c r="L367" s="240"/>
      <c r="M367" s="241"/>
      <c r="N367" s="178"/>
      <c r="O367" s="242"/>
      <c r="P367" s="243"/>
    </row>
    <row r="368" spans="2:16" ht="12.75">
      <c r="B368" s="238"/>
      <c r="H368" s="155"/>
      <c r="I368" s="239"/>
      <c r="L368" s="240"/>
      <c r="M368" s="241"/>
      <c r="N368" s="178"/>
      <c r="O368" s="242"/>
      <c r="P368" s="243"/>
    </row>
    <row r="369" spans="2:16" ht="12.75">
      <c r="B369" s="238"/>
      <c r="H369" s="155"/>
      <c r="I369" s="239"/>
      <c r="L369" s="240"/>
      <c r="M369" s="241"/>
      <c r="N369" s="178"/>
      <c r="O369" s="242"/>
      <c r="P369" s="243"/>
    </row>
    <row r="370" spans="2:16" ht="12.75">
      <c r="B370" s="238"/>
      <c r="H370" s="155"/>
      <c r="I370" s="239"/>
      <c r="L370" s="240"/>
      <c r="M370" s="241"/>
      <c r="N370" s="178"/>
      <c r="O370" s="242"/>
      <c r="P370" s="243"/>
    </row>
    <row r="371" spans="2:16" ht="12.75">
      <c r="B371" s="238"/>
      <c r="H371" s="155"/>
      <c r="I371" s="239"/>
      <c r="L371" s="240"/>
      <c r="M371" s="241"/>
      <c r="N371" s="178"/>
      <c r="O371" s="242"/>
      <c r="P371" s="243"/>
    </row>
    <row r="372" spans="2:16" ht="12.75">
      <c r="B372" s="238"/>
      <c r="H372" s="155"/>
      <c r="I372" s="239"/>
      <c r="L372" s="240"/>
      <c r="M372" s="241"/>
      <c r="N372" s="178"/>
      <c r="O372" s="242"/>
      <c r="P372" s="243"/>
    </row>
    <row r="373" spans="2:16" ht="12.75">
      <c r="B373" s="238"/>
      <c r="H373" s="155"/>
      <c r="I373" s="239"/>
      <c r="L373" s="240"/>
      <c r="M373" s="241"/>
      <c r="N373" s="178"/>
      <c r="O373" s="242"/>
      <c r="P373" s="243"/>
    </row>
    <row r="374" spans="2:16" ht="12.75">
      <c r="B374" s="238"/>
      <c r="H374" s="155"/>
      <c r="I374" s="239"/>
      <c r="L374" s="240"/>
      <c r="M374" s="241"/>
      <c r="N374" s="178"/>
      <c r="O374" s="242"/>
      <c r="P374" s="243"/>
    </row>
    <row r="375" spans="2:16" ht="12.75">
      <c r="B375" s="238"/>
      <c r="H375" s="155"/>
      <c r="I375" s="239"/>
      <c r="L375" s="240"/>
      <c r="M375" s="241"/>
      <c r="N375" s="178"/>
      <c r="O375" s="242"/>
      <c r="P375" s="243"/>
    </row>
    <row r="376" spans="2:16" ht="12.75">
      <c r="B376" s="238"/>
      <c r="H376" s="155"/>
      <c r="I376" s="239"/>
      <c r="L376" s="240"/>
      <c r="M376" s="241"/>
      <c r="N376" s="178"/>
      <c r="O376" s="242"/>
      <c r="P376" s="243"/>
    </row>
    <row r="377" spans="2:16" ht="12.75">
      <c r="B377" s="238"/>
      <c r="H377" s="155"/>
      <c r="I377" s="239"/>
      <c r="L377" s="240"/>
      <c r="M377" s="241"/>
      <c r="N377" s="178"/>
      <c r="O377" s="242"/>
      <c r="P377" s="243"/>
    </row>
    <row r="378" spans="2:16" ht="12.75">
      <c r="B378" s="238"/>
      <c r="H378" s="155"/>
      <c r="I378" s="239"/>
      <c r="L378" s="240"/>
      <c r="M378" s="241"/>
      <c r="N378" s="178"/>
      <c r="O378" s="242"/>
      <c r="P378" s="243"/>
    </row>
    <row r="379" spans="2:16" ht="12.75">
      <c r="B379" s="238"/>
      <c r="H379" s="155"/>
      <c r="I379" s="239"/>
      <c r="L379" s="240"/>
      <c r="M379" s="241"/>
      <c r="N379" s="178"/>
      <c r="O379" s="242"/>
      <c r="P379" s="243"/>
    </row>
    <row r="380" spans="2:16" ht="12.75">
      <c r="B380" s="238"/>
      <c r="H380" s="155"/>
      <c r="I380" s="239"/>
      <c r="L380" s="240"/>
      <c r="M380" s="241"/>
      <c r="N380" s="178"/>
      <c r="O380" s="242"/>
      <c r="P380" s="243"/>
    </row>
    <row r="381" spans="2:16" ht="12.75">
      <c r="B381" s="238"/>
      <c r="H381" s="155"/>
      <c r="I381" s="239"/>
      <c r="L381" s="240"/>
      <c r="M381" s="241"/>
      <c r="N381" s="178"/>
      <c r="O381" s="242"/>
      <c r="P381" s="243"/>
    </row>
    <row r="382" spans="2:16" ht="12.75">
      <c r="B382" s="238"/>
      <c r="H382" s="155"/>
      <c r="I382" s="239"/>
      <c r="L382" s="240"/>
      <c r="M382" s="241"/>
      <c r="N382" s="178"/>
      <c r="O382" s="242"/>
      <c r="P382" s="243"/>
    </row>
    <row r="383" spans="2:16" ht="12.75">
      <c r="B383" s="238"/>
      <c r="H383" s="155"/>
      <c r="I383" s="239"/>
      <c r="L383" s="240"/>
      <c r="M383" s="241"/>
      <c r="N383" s="178"/>
      <c r="O383" s="242"/>
      <c r="P383" s="243"/>
    </row>
    <row r="384" spans="2:16" ht="12.75">
      <c r="B384" s="238"/>
      <c r="H384" s="155"/>
      <c r="I384" s="239"/>
      <c r="L384" s="240"/>
      <c r="M384" s="241"/>
      <c r="N384" s="178"/>
      <c r="O384" s="242"/>
      <c r="P384" s="243"/>
    </row>
    <row r="385" spans="1:26" ht="12.75">
      <c r="B385" s="238"/>
      <c r="H385" s="155"/>
      <c r="I385" s="239"/>
      <c r="L385" s="240"/>
      <c r="M385" s="241"/>
      <c r="N385" s="178"/>
      <c r="O385" s="242"/>
      <c r="P385" s="243"/>
    </row>
    <row r="386" spans="1:26" ht="12.75">
      <c r="B386" s="238"/>
      <c r="H386" s="155"/>
      <c r="I386" s="239"/>
      <c r="L386" s="240"/>
      <c r="M386" s="241"/>
      <c r="N386" s="178"/>
      <c r="O386" s="242"/>
      <c r="P386" s="243"/>
    </row>
    <row r="387" spans="1:26" ht="12.75">
      <c r="B387" s="238"/>
      <c r="H387" s="155"/>
      <c r="I387" s="239"/>
      <c r="L387" s="240"/>
      <c r="M387" s="241"/>
      <c r="N387" s="178"/>
      <c r="O387" s="242"/>
      <c r="P387" s="243"/>
    </row>
    <row r="388" spans="1:26" ht="12.75">
      <c r="B388" s="238"/>
      <c r="H388" s="155"/>
      <c r="I388" s="239"/>
      <c r="L388" s="240"/>
      <c r="M388" s="241"/>
      <c r="N388" s="178"/>
      <c r="O388" s="242"/>
      <c r="P388" s="243"/>
    </row>
    <row r="389" spans="1:26" ht="12.75">
      <c r="B389" s="238"/>
      <c r="H389" s="155"/>
      <c r="I389" s="239"/>
      <c r="L389" s="240"/>
      <c r="M389" s="241"/>
      <c r="N389" s="178"/>
      <c r="O389" s="242"/>
      <c r="P389" s="243"/>
    </row>
    <row r="390" spans="1:26" ht="12.75">
      <c r="B390" s="238"/>
      <c r="H390" s="155"/>
      <c r="I390" s="239"/>
      <c r="L390" s="240"/>
      <c r="M390" s="241"/>
      <c r="N390" s="178"/>
      <c r="O390" s="242"/>
      <c r="P390" s="243"/>
    </row>
    <row r="391" spans="1:26" ht="12.75">
      <c r="B391" s="238"/>
      <c r="H391" s="155"/>
      <c r="I391" s="239"/>
      <c r="L391" s="240"/>
      <c r="M391" s="241"/>
      <c r="N391" s="178"/>
      <c r="O391" s="242"/>
      <c r="P391" s="243"/>
    </row>
    <row r="392" spans="1:26" ht="12.75">
      <c r="A392" s="244"/>
      <c r="B392" s="245"/>
      <c r="C392" s="244"/>
      <c r="D392" s="244"/>
      <c r="E392" s="244"/>
      <c r="F392" s="244"/>
      <c r="G392" s="244"/>
      <c r="H392" s="244"/>
      <c r="I392" s="244"/>
      <c r="J392" s="244"/>
      <c r="K392" s="244"/>
      <c r="L392" s="244"/>
      <c r="M392" s="244"/>
      <c r="N392" s="244"/>
      <c r="O392" s="244"/>
      <c r="P392" s="244"/>
      <c r="Q392" s="155"/>
      <c r="R392" s="155"/>
      <c r="S392" s="155"/>
      <c r="T392" s="155"/>
      <c r="U392" s="155"/>
      <c r="V392" s="155"/>
      <c r="W392" s="155"/>
      <c r="X392" s="155"/>
      <c r="Y392" s="155"/>
      <c r="Z392" s="155"/>
    </row>
    <row r="393" spans="1:26" ht="12.75">
      <c r="B393" s="238"/>
      <c r="H393" s="155"/>
      <c r="I393" s="239"/>
      <c r="L393" s="240"/>
      <c r="M393" s="241"/>
      <c r="N393" s="178"/>
      <c r="O393" s="242"/>
      <c r="P393" s="243"/>
    </row>
    <row r="394" spans="1:26" ht="12.75">
      <c r="B394" s="238"/>
      <c r="H394" s="155"/>
      <c r="I394" s="239"/>
      <c r="L394" s="240"/>
      <c r="M394" s="241"/>
      <c r="N394" s="178"/>
      <c r="O394" s="242"/>
      <c r="P394" s="243"/>
    </row>
    <row r="395" spans="1:26" ht="12.75">
      <c r="B395" s="238"/>
      <c r="H395" s="155"/>
      <c r="I395" s="239"/>
      <c r="L395" s="240"/>
      <c r="M395" s="241"/>
      <c r="N395" s="178"/>
      <c r="O395" s="242"/>
      <c r="P395" s="243"/>
    </row>
    <row r="396" spans="1:26" ht="12.75">
      <c r="B396" s="238"/>
      <c r="H396" s="155"/>
      <c r="I396" s="239"/>
      <c r="L396" s="240"/>
      <c r="M396" s="241"/>
      <c r="N396" s="178"/>
      <c r="O396" s="242"/>
      <c r="P396" s="243"/>
    </row>
    <row r="397" spans="1:26" ht="12.75">
      <c r="B397" s="238"/>
      <c r="H397" s="155"/>
      <c r="I397" s="239"/>
      <c r="L397" s="240"/>
      <c r="M397" s="241"/>
      <c r="N397" s="178"/>
      <c r="O397" s="242"/>
      <c r="P397" s="243"/>
    </row>
    <row r="398" spans="1:26" ht="12.75">
      <c r="B398" s="238"/>
      <c r="H398" s="155"/>
      <c r="I398" s="239"/>
      <c r="L398" s="240"/>
      <c r="M398" s="241"/>
      <c r="N398" s="178"/>
      <c r="O398" s="242"/>
      <c r="P398" s="243"/>
    </row>
    <row r="399" spans="1:26" ht="12.75">
      <c r="B399" s="238"/>
      <c r="H399" s="155"/>
      <c r="I399" s="239"/>
      <c r="L399" s="240"/>
      <c r="M399" s="241"/>
      <c r="N399" s="178"/>
      <c r="O399" s="242"/>
      <c r="P399" s="243"/>
    </row>
    <row r="400" spans="1:26" ht="12.75">
      <c r="B400" s="238"/>
      <c r="H400" s="155"/>
      <c r="I400" s="239"/>
      <c r="L400" s="240"/>
      <c r="M400" s="241"/>
      <c r="N400" s="178"/>
      <c r="O400" s="242"/>
      <c r="P400" s="243"/>
    </row>
    <row r="401" spans="2:16" ht="12.75">
      <c r="B401" s="238"/>
      <c r="H401" s="155"/>
      <c r="I401" s="239"/>
      <c r="L401" s="240"/>
      <c r="M401" s="241"/>
      <c r="N401" s="178"/>
      <c r="O401" s="242"/>
      <c r="P401" s="243"/>
    </row>
    <row r="402" spans="2:16" ht="12.75">
      <c r="B402" s="238"/>
      <c r="H402" s="155"/>
      <c r="I402" s="239"/>
      <c r="L402" s="240"/>
      <c r="M402" s="241"/>
      <c r="N402" s="178"/>
      <c r="O402" s="242"/>
      <c r="P402" s="243"/>
    </row>
    <row r="403" spans="2:16" ht="12.75">
      <c r="B403" s="238"/>
      <c r="H403" s="155"/>
      <c r="I403" s="239"/>
      <c r="L403" s="240"/>
      <c r="M403" s="241"/>
      <c r="N403" s="178"/>
      <c r="O403" s="242"/>
      <c r="P403" s="243"/>
    </row>
    <row r="404" spans="2:16" ht="12.75">
      <c r="B404" s="238"/>
      <c r="H404" s="155"/>
      <c r="I404" s="239"/>
      <c r="L404" s="240"/>
      <c r="M404" s="241"/>
      <c r="N404" s="178"/>
      <c r="O404" s="242"/>
      <c r="P404" s="243"/>
    </row>
    <row r="405" spans="2:16" ht="12.75">
      <c r="B405" s="238"/>
      <c r="H405" s="155"/>
      <c r="I405" s="239"/>
      <c r="L405" s="240"/>
      <c r="M405" s="241"/>
      <c r="N405" s="178"/>
      <c r="O405" s="242"/>
      <c r="P405" s="243"/>
    </row>
    <row r="406" spans="2:16" ht="12.75">
      <c r="B406" s="238"/>
      <c r="H406" s="155"/>
      <c r="I406" s="239"/>
      <c r="L406" s="240"/>
      <c r="M406" s="241"/>
      <c r="N406" s="178"/>
      <c r="O406" s="242"/>
      <c r="P406" s="243"/>
    </row>
    <row r="407" spans="2:16" ht="12.75">
      <c r="B407" s="238"/>
      <c r="H407" s="155"/>
      <c r="I407" s="239"/>
      <c r="L407" s="240"/>
      <c r="M407" s="241"/>
      <c r="N407" s="178"/>
      <c r="O407" s="242"/>
      <c r="P407" s="243"/>
    </row>
    <row r="408" spans="2:16" ht="12.75">
      <c r="B408" s="238"/>
      <c r="H408" s="155"/>
      <c r="I408" s="239"/>
      <c r="L408" s="240"/>
      <c r="M408" s="241"/>
      <c r="N408" s="178"/>
      <c r="O408" s="242"/>
      <c r="P408" s="243"/>
    </row>
    <row r="409" spans="2:16" ht="12.75">
      <c r="B409" s="238"/>
      <c r="H409" s="155"/>
      <c r="I409" s="239"/>
      <c r="L409" s="240"/>
      <c r="M409" s="241"/>
      <c r="N409" s="178"/>
      <c r="O409" s="242"/>
      <c r="P409" s="243"/>
    </row>
    <row r="410" spans="2:16" ht="12.75">
      <c r="B410" s="238"/>
      <c r="H410" s="155"/>
      <c r="I410" s="239"/>
      <c r="L410" s="240"/>
      <c r="M410" s="241"/>
      <c r="N410" s="178"/>
      <c r="O410" s="242"/>
      <c r="P410" s="243"/>
    </row>
    <row r="411" spans="2:16" ht="12.75">
      <c r="B411" s="238"/>
      <c r="H411" s="155"/>
      <c r="I411" s="239"/>
      <c r="L411" s="240"/>
      <c r="M411" s="241"/>
      <c r="N411" s="178"/>
      <c r="O411" s="242"/>
      <c r="P411" s="243"/>
    </row>
    <row r="412" spans="2:16" ht="12.75">
      <c r="B412" s="238"/>
      <c r="H412" s="155"/>
      <c r="I412" s="239"/>
      <c r="L412" s="240"/>
      <c r="M412" s="241"/>
      <c r="N412" s="178"/>
      <c r="O412" s="242"/>
      <c r="P412" s="243"/>
    </row>
    <row r="413" spans="2:16" ht="12.75">
      <c r="B413" s="238"/>
      <c r="H413" s="155"/>
      <c r="I413" s="239"/>
      <c r="L413" s="240"/>
      <c r="M413" s="241"/>
      <c r="N413" s="178"/>
      <c r="O413" s="242"/>
      <c r="P413" s="243"/>
    </row>
    <row r="414" spans="2:16" ht="12.75">
      <c r="B414" s="238"/>
      <c r="H414" s="155"/>
      <c r="I414" s="239"/>
      <c r="L414" s="240"/>
      <c r="M414" s="241"/>
      <c r="N414" s="178"/>
      <c r="O414" s="242"/>
      <c r="P414" s="243"/>
    </row>
    <row r="415" spans="2:16" ht="12.75">
      <c r="B415" s="238"/>
      <c r="H415" s="155"/>
      <c r="I415" s="239"/>
      <c r="L415" s="240"/>
      <c r="M415" s="241"/>
      <c r="N415" s="178"/>
      <c r="O415" s="242"/>
      <c r="P415" s="243"/>
    </row>
    <row r="416" spans="2:16" ht="12.75">
      <c r="B416" s="238"/>
      <c r="H416" s="155"/>
      <c r="I416" s="239"/>
      <c r="L416" s="240"/>
      <c r="M416" s="241"/>
      <c r="N416" s="178"/>
      <c r="O416" s="242"/>
      <c r="P416" s="243"/>
    </row>
    <row r="417" spans="2:16" ht="12.75">
      <c r="B417" s="238"/>
      <c r="H417" s="155"/>
      <c r="I417" s="239"/>
      <c r="L417" s="240"/>
      <c r="M417" s="241"/>
      <c r="N417" s="178"/>
      <c r="O417" s="242"/>
      <c r="P417" s="243"/>
    </row>
    <row r="418" spans="2:16" ht="12.75">
      <c r="B418" s="238"/>
      <c r="H418" s="155"/>
      <c r="I418" s="239"/>
      <c r="L418" s="240"/>
      <c r="M418" s="241"/>
      <c r="N418" s="178"/>
      <c r="O418" s="242"/>
      <c r="P418" s="243"/>
    </row>
    <row r="419" spans="2:16" ht="12.75">
      <c r="B419" s="238"/>
      <c r="H419" s="155"/>
      <c r="I419" s="239"/>
      <c r="L419" s="240"/>
      <c r="M419" s="241"/>
      <c r="N419" s="178"/>
      <c r="O419" s="242"/>
      <c r="P419" s="243"/>
    </row>
    <row r="420" spans="2:16" ht="12.75">
      <c r="B420" s="238"/>
      <c r="H420" s="155"/>
      <c r="I420" s="239"/>
      <c r="L420" s="240"/>
      <c r="M420" s="241"/>
      <c r="N420" s="178"/>
      <c r="O420" s="242"/>
      <c r="P420" s="243"/>
    </row>
    <row r="421" spans="2:16" ht="12.75">
      <c r="B421" s="238"/>
      <c r="H421" s="155"/>
      <c r="I421" s="239"/>
      <c r="L421" s="240"/>
      <c r="M421" s="241"/>
      <c r="N421" s="178"/>
      <c r="O421" s="242"/>
      <c r="P421" s="243"/>
    </row>
    <row r="422" spans="2:16" ht="12.75">
      <c r="B422" s="238"/>
      <c r="H422" s="155"/>
      <c r="I422" s="239"/>
      <c r="L422" s="240"/>
      <c r="M422" s="241"/>
      <c r="N422" s="178"/>
      <c r="O422" s="242"/>
      <c r="P422" s="243"/>
    </row>
    <row r="423" spans="2:16" ht="12.75">
      <c r="B423" s="238"/>
      <c r="H423" s="155"/>
      <c r="I423" s="239"/>
      <c r="L423" s="240"/>
      <c r="M423" s="241"/>
      <c r="N423" s="178"/>
      <c r="O423" s="242"/>
      <c r="P423" s="243"/>
    </row>
    <row r="424" spans="2:16" ht="12.75">
      <c r="B424" s="238"/>
      <c r="H424" s="155"/>
      <c r="I424" s="239"/>
      <c r="L424" s="240"/>
      <c r="M424" s="241"/>
      <c r="N424" s="178"/>
      <c r="O424" s="242"/>
      <c r="P424" s="243"/>
    </row>
    <row r="425" spans="2:16" ht="12.75">
      <c r="B425" s="238"/>
      <c r="H425" s="155"/>
      <c r="I425" s="239"/>
      <c r="L425" s="240"/>
      <c r="M425" s="241"/>
      <c r="N425" s="178"/>
      <c r="O425" s="242"/>
      <c r="P425" s="243"/>
    </row>
    <row r="426" spans="2:16" ht="12.75">
      <c r="B426" s="238"/>
      <c r="H426" s="155"/>
      <c r="I426" s="239"/>
      <c r="L426" s="240"/>
      <c r="M426" s="241"/>
      <c r="N426" s="178"/>
      <c r="O426" s="242"/>
      <c r="P426" s="243"/>
    </row>
    <row r="427" spans="2:16" ht="12.75">
      <c r="B427" s="238"/>
      <c r="H427" s="155"/>
      <c r="I427" s="239"/>
      <c r="L427" s="240"/>
      <c r="M427" s="241"/>
      <c r="N427" s="178"/>
      <c r="O427" s="242"/>
      <c r="P427" s="243"/>
    </row>
    <row r="428" spans="2:16" ht="12.75">
      <c r="B428" s="238"/>
      <c r="H428" s="155"/>
      <c r="I428" s="239"/>
      <c r="L428" s="240"/>
      <c r="M428" s="241"/>
      <c r="N428" s="178"/>
      <c r="O428" s="242"/>
      <c r="P428" s="243"/>
    </row>
    <row r="429" spans="2:16" ht="12.75">
      <c r="B429" s="238"/>
      <c r="H429" s="155"/>
      <c r="I429" s="239"/>
      <c r="L429" s="240"/>
      <c r="M429" s="241"/>
      <c r="N429" s="178"/>
      <c r="O429" s="242"/>
      <c r="P429" s="243"/>
    </row>
    <row r="430" spans="2:16" ht="12.75">
      <c r="B430" s="238"/>
      <c r="H430" s="155"/>
      <c r="I430" s="239"/>
      <c r="L430" s="240"/>
      <c r="M430" s="241"/>
      <c r="N430" s="178"/>
      <c r="O430" s="242"/>
      <c r="P430" s="243"/>
    </row>
    <row r="431" spans="2:16" ht="12.75">
      <c r="B431" s="238"/>
      <c r="H431" s="155"/>
      <c r="I431" s="239"/>
      <c r="L431" s="240"/>
      <c r="M431" s="241"/>
      <c r="N431" s="178"/>
      <c r="O431" s="242"/>
      <c r="P431" s="243"/>
    </row>
    <row r="432" spans="2:16" ht="12.75">
      <c r="B432" s="238"/>
      <c r="H432" s="155"/>
      <c r="I432" s="239"/>
      <c r="L432" s="240"/>
      <c r="M432" s="241"/>
      <c r="N432" s="178"/>
      <c r="O432" s="242"/>
      <c r="P432" s="243"/>
    </row>
    <row r="433" spans="2:16" ht="12.75">
      <c r="B433" s="238"/>
      <c r="H433" s="155"/>
      <c r="I433" s="239"/>
      <c r="L433" s="240"/>
      <c r="M433" s="241"/>
      <c r="N433" s="178"/>
      <c r="O433" s="242"/>
      <c r="P433" s="243"/>
    </row>
    <row r="434" spans="2:16" ht="12.75">
      <c r="B434" s="238"/>
      <c r="H434" s="155"/>
      <c r="I434" s="239"/>
      <c r="L434" s="240"/>
      <c r="M434" s="241"/>
      <c r="N434" s="178"/>
      <c r="O434" s="242"/>
      <c r="P434" s="243"/>
    </row>
    <row r="435" spans="2:16" ht="12.75">
      <c r="B435" s="238"/>
      <c r="H435" s="155"/>
      <c r="I435" s="239"/>
      <c r="L435" s="240"/>
      <c r="M435" s="241"/>
      <c r="N435" s="178"/>
      <c r="O435" s="242"/>
      <c r="P435" s="243"/>
    </row>
    <row r="436" spans="2:16" ht="12.75">
      <c r="B436" s="238"/>
      <c r="H436" s="155"/>
      <c r="I436" s="239"/>
      <c r="L436" s="240"/>
      <c r="M436" s="241"/>
      <c r="N436" s="178"/>
      <c r="O436" s="242"/>
      <c r="P436" s="243"/>
    </row>
    <row r="437" spans="2:16" ht="12.75">
      <c r="B437" s="238"/>
      <c r="H437" s="155"/>
      <c r="I437" s="239"/>
      <c r="L437" s="240"/>
      <c r="M437" s="241"/>
      <c r="N437" s="178"/>
      <c r="O437" s="242"/>
      <c r="P437" s="243"/>
    </row>
    <row r="438" spans="2:16" ht="12.75">
      <c r="B438" s="238"/>
      <c r="H438" s="155"/>
      <c r="I438" s="239"/>
      <c r="L438" s="240"/>
      <c r="M438" s="241"/>
      <c r="N438" s="178"/>
      <c r="O438" s="242"/>
      <c r="P438" s="243"/>
    </row>
    <row r="439" spans="2:16" ht="12.75">
      <c r="B439" s="238"/>
      <c r="H439" s="155"/>
      <c r="I439" s="239"/>
      <c r="L439" s="240"/>
      <c r="M439" s="241"/>
      <c r="N439" s="178"/>
      <c r="O439" s="242"/>
      <c r="P439" s="243"/>
    </row>
    <row r="440" spans="2:16" ht="12.75">
      <c r="B440" s="238"/>
      <c r="H440" s="155"/>
      <c r="I440" s="239"/>
      <c r="L440" s="240"/>
      <c r="M440" s="241"/>
      <c r="N440" s="178"/>
      <c r="O440" s="242"/>
      <c r="P440" s="243"/>
    </row>
    <row r="441" spans="2:16" ht="12.75">
      <c r="B441" s="238"/>
      <c r="H441" s="155"/>
      <c r="I441" s="239"/>
      <c r="L441" s="240"/>
      <c r="M441" s="241"/>
      <c r="N441" s="178"/>
      <c r="O441" s="242"/>
      <c r="P441" s="243"/>
    </row>
    <row r="442" spans="2:16" ht="12.75">
      <c r="B442" s="238"/>
      <c r="H442" s="155"/>
      <c r="I442" s="239"/>
      <c r="L442" s="240"/>
      <c r="M442" s="241"/>
      <c r="N442" s="178"/>
      <c r="O442" s="242"/>
      <c r="P442" s="243"/>
    </row>
    <row r="443" spans="2:16" ht="12.75">
      <c r="B443" s="238"/>
      <c r="H443" s="155"/>
      <c r="I443" s="239"/>
      <c r="L443" s="240"/>
      <c r="M443" s="241"/>
      <c r="N443" s="178"/>
      <c r="O443" s="242"/>
      <c r="P443" s="243"/>
    </row>
    <row r="444" spans="2:16" ht="12.75">
      <c r="B444" s="238"/>
      <c r="H444" s="155"/>
      <c r="I444" s="239"/>
      <c r="L444" s="240"/>
      <c r="M444" s="241"/>
      <c r="N444" s="178"/>
      <c r="O444" s="242"/>
      <c r="P444" s="243"/>
    </row>
    <row r="445" spans="2:16" ht="12.75">
      <c r="B445" s="238"/>
      <c r="H445" s="155"/>
      <c r="I445" s="239"/>
      <c r="L445" s="240"/>
      <c r="M445" s="241"/>
      <c r="N445" s="178"/>
      <c r="O445" s="242"/>
      <c r="P445" s="243"/>
    </row>
    <row r="446" spans="2:16" ht="12.75">
      <c r="B446" s="238"/>
      <c r="H446" s="155"/>
      <c r="I446" s="239"/>
      <c r="L446" s="240"/>
      <c r="M446" s="241"/>
      <c r="N446" s="178"/>
      <c r="O446" s="242"/>
      <c r="P446" s="243"/>
    </row>
    <row r="447" spans="2:16" ht="12.75">
      <c r="B447" s="238"/>
      <c r="H447" s="155"/>
      <c r="I447" s="239"/>
      <c r="L447" s="240"/>
      <c r="M447" s="241"/>
      <c r="N447" s="178"/>
      <c r="O447" s="242"/>
      <c r="P447" s="243"/>
    </row>
    <row r="448" spans="2:16" ht="12.75">
      <c r="B448" s="238"/>
      <c r="H448" s="155"/>
      <c r="I448" s="239"/>
      <c r="L448" s="240"/>
      <c r="M448" s="241"/>
      <c r="N448" s="178"/>
      <c r="O448" s="242"/>
      <c r="P448" s="243"/>
    </row>
    <row r="449" spans="2:16" ht="12.75">
      <c r="B449" s="238"/>
      <c r="H449" s="155"/>
      <c r="I449" s="239"/>
      <c r="L449" s="240"/>
      <c r="M449" s="241"/>
      <c r="N449" s="178"/>
      <c r="O449" s="242"/>
      <c r="P449" s="243"/>
    </row>
    <row r="450" spans="2:16" ht="12.75">
      <c r="B450" s="238"/>
      <c r="H450" s="155"/>
      <c r="I450" s="239"/>
      <c r="L450" s="240"/>
      <c r="M450" s="241"/>
      <c r="N450" s="178"/>
      <c r="O450" s="242"/>
      <c r="P450" s="243"/>
    </row>
    <row r="451" spans="2:16" ht="12.75">
      <c r="B451" s="238"/>
      <c r="H451" s="155"/>
      <c r="I451" s="239"/>
      <c r="L451" s="240"/>
      <c r="M451" s="241"/>
      <c r="N451" s="178"/>
      <c r="O451" s="242"/>
      <c r="P451" s="243"/>
    </row>
    <row r="452" spans="2:16" ht="12.75">
      <c r="B452" s="238"/>
      <c r="H452" s="155"/>
      <c r="I452" s="239"/>
      <c r="L452" s="240"/>
      <c r="M452" s="241"/>
      <c r="N452" s="178"/>
      <c r="O452" s="242"/>
      <c r="P452" s="243"/>
    </row>
    <row r="453" spans="2:16" ht="12.75">
      <c r="B453" s="238"/>
      <c r="H453" s="155"/>
      <c r="I453" s="239"/>
      <c r="L453" s="240"/>
      <c r="M453" s="241"/>
      <c r="N453" s="178"/>
      <c r="O453" s="242"/>
      <c r="P453" s="243"/>
    </row>
    <row r="454" spans="2:16" ht="12.75">
      <c r="B454" s="238"/>
      <c r="H454" s="155"/>
      <c r="I454" s="239"/>
      <c r="L454" s="240"/>
      <c r="M454" s="241"/>
      <c r="N454" s="178"/>
      <c r="O454" s="242"/>
      <c r="P454" s="243"/>
    </row>
    <row r="455" spans="2:16" ht="12.75">
      <c r="B455" s="238"/>
      <c r="H455" s="155"/>
      <c r="I455" s="239"/>
      <c r="L455" s="240"/>
      <c r="M455" s="241"/>
      <c r="N455" s="178"/>
      <c r="O455" s="242"/>
      <c r="P455" s="243"/>
    </row>
    <row r="456" spans="2:16" ht="12.75">
      <c r="B456" s="238"/>
      <c r="H456" s="155"/>
      <c r="I456" s="239"/>
      <c r="L456" s="240"/>
      <c r="M456" s="241"/>
      <c r="N456" s="178"/>
      <c r="O456" s="242"/>
      <c r="P456" s="243"/>
    </row>
    <row r="457" spans="2:16" ht="12.75">
      <c r="B457" s="238"/>
      <c r="H457" s="155"/>
      <c r="I457" s="239"/>
      <c r="L457" s="240"/>
      <c r="M457" s="241"/>
      <c r="N457" s="178"/>
      <c r="O457" s="242"/>
      <c r="P457" s="243"/>
    </row>
    <row r="458" spans="2:16" ht="12.75">
      <c r="B458" s="238"/>
      <c r="H458" s="155"/>
      <c r="I458" s="239"/>
      <c r="L458" s="240"/>
      <c r="M458" s="241"/>
      <c r="N458" s="178"/>
      <c r="O458" s="242"/>
      <c r="P458" s="243"/>
    </row>
    <row r="459" spans="2:16" ht="12.75">
      <c r="B459" s="238"/>
      <c r="H459" s="155"/>
      <c r="I459" s="239"/>
      <c r="L459" s="240"/>
      <c r="M459" s="241"/>
      <c r="N459" s="178"/>
      <c r="O459" s="242"/>
      <c r="P459" s="243"/>
    </row>
    <row r="460" spans="2:16" ht="12.75">
      <c r="B460" s="238"/>
      <c r="H460" s="155"/>
      <c r="I460" s="239"/>
      <c r="L460" s="240"/>
      <c r="M460" s="241"/>
      <c r="N460" s="178"/>
      <c r="O460" s="242"/>
      <c r="P460" s="243"/>
    </row>
    <row r="461" spans="2:16" ht="12.75">
      <c r="B461" s="238"/>
      <c r="H461" s="155"/>
      <c r="I461" s="239"/>
      <c r="L461" s="240"/>
      <c r="M461" s="241"/>
      <c r="N461" s="178"/>
      <c r="O461" s="242"/>
      <c r="P461" s="243"/>
    </row>
    <row r="462" spans="2:16" ht="12.75">
      <c r="B462" s="238"/>
      <c r="H462" s="155"/>
      <c r="I462" s="239"/>
      <c r="L462" s="240"/>
      <c r="M462" s="241"/>
      <c r="N462" s="178"/>
      <c r="O462" s="242"/>
      <c r="P462" s="243"/>
    </row>
    <row r="463" spans="2:16" ht="12.75">
      <c r="B463" s="238"/>
      <c r="H463" s="155"/>
      <c r="I463" s="239"/>
      <c r="L463" s="240"/>
      <c r="M463" s="241"/>
      <c r="N463" s="178"/>
      <c r="O463" s="242"/>
      <c r="P463" s="243"/>
    </row>
    <row r="464" spans="2:16" ht="12.75">
      <c r="B464" s="238"/>
      <c r="H464" s="155"/>
      <c r="I464" s="239"/>
      <c r="L464" s="240"/>
      <c r="M464" s="241"/>
      <c r="N464" s="178"/>
      <c r="O464" s="242"/>
      <c r="P464" s="243"/>
    </row>
    <row r="465" spans="2:16" ht="12.75">
      <c r="B465" s="238"/>
      <c r="H465" s="155"/>
      <c r="I465" s="239"/>
      <c r="L465" s="240"/>
      <c r="M465" s="241"/>
      <c r="N465" s="178"/>
      <c r="O465" s="242"/>
      <c r="P465" s="243"/>
    </row>
    <row r="466" spans="2:16" ht="12.75">
      <c r="B466" s="238"/>
      <c r="H466" s="155"/>
      <c r="I466" s="239"/>
      <c r="L466" s="240"/>
      <c r="M466" s="241"/>
      <c r="N466" s="178"/>
      <c r="O466" s="242"/>
      <c r="P466" s="243"/>
    </row>
    <row r="467" spans="2:16" ht="12.75">
      <c r="B467" s="238"/>
      <c r="H467" s="155"/>
      <c r="I467" s="239"/>
      <c r="L467" s="240"/>
      <c r="M467" s="241"/>
      <c r="N467" s="178"/>
      <c r="O467" s="242"/>
      <c r="P467" s="243"/>
    </row>
    <row r="468" spans="2:16" ht="12.75">
      <c r="B468" s="238"/>
      <c r="H468" s="155"/>
      <c r="I468" s="239"/>
      <c r="L468" s="240"/>
      <c r="M468" s="241"/>
      <c r="N468" s="178"/>
      <c r="O468" s="242"/>
      <c r="P468" s="243"/>
    </row>
    <row r="469" spans="2:16" ht="12.75">
      <c r="B469" s="238"/>
      <c r="H469" s="155"/>
      <c r="I469" s="239"/>
      <c r="L469" s="240"/>
      <c r="M469" s="241"/>
      <c r="N469" s="178"/>
      <c r="O469" s="242"/>
      <c r="P469" s="243"/>
    </row>
    <row r="470" spans="2:16" ht="12.75">
      <c r="B470" s="238"/>
      <c r="H470" s="155"/>
      <c r="I470" s="239"/>
      <c r="L470" s="240"/>
      <c r="M470" s="241"/>
      <c r="N470" s="178"/>
      <c r="O470" s="242"/>
      <c r="P470" s="243"/>
    </row>
    <row r="471" spans="2:16" ht="12.75">
      <c r="B471" s="238"/>
      <c r="H471" s="155"/>
      <c r="I471" s="239"/>
      <c r="L471" s="240"/>
      <c r="M471" s="241"/>
      <c r="N471" s="178"/>
      <c r="O471" s="242"/>
      <c r="P471" s="243"/>
    </row>
    <row r="472" spans="2:16" ht="12.75">
      <c r="B472" s="238"/>
      <c r="H472" s="155"/>
      <c r="I472" s="239"/>
      <c r="L472" s="240"/>
      <c r="M472" s="241"/>
      <c r="N472" s="178"/>
      <c r="O472" s="242"/>
      <c r="P472" s="243"/>
    </row>
    <row r="473" spans="2:16" ht="12.75">
      <c r="B473" s="238"/>
      <c r="H473" s="155"/>
      <c r="I473" s="239"/>
      <c r="L473" s="240"/>
      <c r="M473" s="241"/>
      <c r="N473" s="178"/>
      <c r="O473" s="242"/>
      <c r="P473" s="243"/>
    </row>
    <row r="474" spans="2:16" ht="12.75">
      <c r="B474" s="238"/>
      <c r="H474" s="155"/>
      <c r="I474" s="239"/>
      <c r="L474" s="240"/>
      <c r="M474" s="241"/>
      <c r="N474" s="178"/>
      <c r="O474" s="242"/>
      <c r="P474" s="243"/>
    </row>
    <row r="475" spans="2:16" ht="12.75">
      <c r="B475" s="238"/>
      <c r="H475" s="155"/>
      <c r="I475" s="239"/>
      <c r="L475" s="240"/>
      <c r="M475" s="241"/>
      <c r="N475" s="178"/>
      <c r="O475" s="242"/>
      <c r="P475" s="243"/>
    </row>
    <row r="476" spans="2:16" ht="12.75">
      <c r="B476" s="238"/>
      <c r="H476" s="155"/>
      <c r="I476" s="239"/>
      <c r="L476" s="240"/>
      <c r="M476" s="241"/>
      <c r="N476" s="178"/>
      <c r="O476" s="242"/>
      <c r="P476" s="243"/>
    </row>
    <row r="477" spans="2:16" ht="12.75">
      <c r="B477" s="238"/>
      <c r="H477" s="155"/>
      <c r="I477" s="239"/>
      <c r="L477" s="240"/>
      <c r="M477" s="241"/>
      <c r="N477" s="178"/>
      <c r="O477" s="242"/>
      <c r="P477" s="243"/>
    </row>
    <row r="478" spans="2:16" ht="12.75">
      <c r="B478" s="238"/>
      <c r="H478" s="155"/>
      <c r="I478" s="239"/>
      <c r="L478" s="240"/>
      <c r="M478" s="241"/>
      <c r="N478" s="178"/>
      <c r="O478" s="242"/>
      <c r="P478" s="243"/>
    </row>
    <row r="479" spans="2:16" ht="12.75">
      <c r="B479" s="238"/>
      <c r="H479" s="155"/>
      <c r="I479" s="239"/>
      <c r="L479" s="240"/>
      <c r="M479" s="241"/>
      <c r="N479" s="178"/>
      <c r="O479" s="242"/>
      <c r="P479" s="243"/>
    </row>
    <row r="480" spans="2:16" ht="12.75">
      <c r="B480" s="238"/>
      <c r="H480" s="155"/>
      <c r="I480" s="239"/>
      <c r="L480" s="240"/>
      <c r="M480" s="241"/>
      <c r="N480" s="178"/>
      <c r="O480" s="242"/>
      <c r="P480" s="243"/>
    </row>
    <row r="481" spans="2:16" ht="12.75">
      <c r="B481" s="238"/>
      <c r="H481" s="155"/>
      <c r="I481" s="239"/>
      <c r="L481" s="240"/>
      <c r="M481" s="241"/>
      <c r="N481" s="178"/>
      <c r="O481" s="242"/>
      <c r="P481" s="243"/>
    </row>
    <row r="482" spans="2:16" ht="12.75">
      <c r="B482" s="238"/>
      <c r="H482" s="155"/>
      <c r="I482" s="239"/>
      <c r="L482" s="240"/>
      <c r="M482" s="241"/>
      <c r="N482" s="178"/>
      <c r="O482" s="242"/>
      <c r="P482" s="243"/>
    </row>
    <row r="483" spans="2:16" ht="12.75">
      <c r="B483" s="238"/>
      <c r="H483" s="155"/>
      <c r="I483" s="239"/>
      <c r="L483" s="240"/>
      <c r="M483" s="241"/>
      <c r="N483" s="178"/>
      <c r="O483" s="242"/>
      <c r="P483" s="243"/>
    </row>
    <row r="484" spans="2:16" ht="12.75">
      <c r="B484" s="238"/>
      <c r="H484" s="155"/>
      <c r="I484" s="239"/>
      <c r="L484" s="240"/>
      <c r="M484" s="241"/>
      <c r="N484" s="178"/>
      <c r="O484" s="242"/>
      <c r="P484" s="243"/>
    </row>
    <row r="485" spans="2:16" ht="12.75">
      <c r="B485" s="238"/>
      <c r="H485" s="155"/>
      <c r="I485" s="239"/>
      <c r="L485" s="240"/>
      <c r="M485" s="241"/>
      <c r="N485" s="178"/>
      <c r="O485" s="242"/>
      <c r="P485" s="243"/>
    </row>
    <row r="486" spans="2:16" ht="12.75">
      <c r="B486" s="238"/>
      <c r="H486" s="155"/>
      <c r="I486" s="239"/>
      <c r="L486" s="240"/>
      <c r="M486" s="241"/>
      <c r="N486" s="178"/>
      <c r="O486" s="242"/>
      <c r="P486" s="243"/>
    </row>
    <row r="487" spans="2:16" ht="12.75">
      <c r="B487" s="238"/>
      <c r="H487" s="155"/>
      <c r="I487" s="239"/>
      <c r="L487" s="240"/>
      <c r="M487" s="241"/>
      <c r="N487" s="178"/>
      <c r="O487" s="242"/>
      <c r="P487" s="243"/>
    </row>
    <row r="488" spans="2:16" ht="12.75">
      <c r="B488" s="238"/>
      <c r="H488" s="155"/>
      <c r="I488" s="239"/>
      <c r="L488" s="240"/>
      <c r="M488" s="241"/>
      <c r="N488" s="178"/>
      <c r="O488" s="242"/>
      <c r="P488" s="243"/>
    </row>
    <row r="489" spans="2:16" ht="12.75">
      <c r="B489" s="238"/>
      <c r="H489" s="155"/>
      <c r="I489" s="239"/>
      <c r="L489" s="240"/>
      <c r="M489" s="241"/>
      <c r="N489" s="178"/>
      <c r="O489" s="242"/>
      <c r="P489" s="243"/>
    </row>
    <row r="490" spans="2:16" ht="12.75">
      <c r="B490" s="238"/>
      <c r="H490" s="155"/>
      <c r="I490" s="239"/>
      <c r="L490" s="240"/>
      <c r="M490" s="241"/>
      <c r="N490" s="178"/>
      <c r="O490" s="242"/>
      <c r="P490" s="243"/>
    </row>
    <row r="491" spans="2:16" ht="12.75">
      <c r="B491" s="238"/>
      <c r="H491" s="155"/>
      <c r="I491" s="239"/>
      <c r="L491" s="240"/>
      <c r="M491" s="241"/>
      <c r="N491" s="178"/>
      <c r="O491" s="242"/>
      <c r="P491" s="243"/>
    </row>
    <row r="492" spans="2:16" ht="12.75">
      <c r="B492" s="238"/>
      <c r="H492" s="155"/>
      <c r="I492" s="239"/>
      <c r="L492" s="240"/>
      <c r="M492" s="241"/>
      <c r="N492" s="178"/>
      <c r="O492" s="242"/>
      <c r="P492" s="243"/>
    </row>
    <row r="493" spans="2:16" ht="12.75">
      <c r="B493" s="238"/>
      <c r="H493" s="155"/>
      <c r="I493" s="239"/>
      <c r="L493" s="240"/>
      <c r="M493" s="241"/>
      <c r="N493" s="178"/>
      <c r="O493" s="242"/>
      <c r="P493" s="243"/>
    </row>
    <row r="494" spans="2:16" ht="12.75">
      <c r="B494" s="238"/>
      <c r="H494" s="155"/>
      <c r="I494" s="239"/>
      <c r="L494" s="240"/>
      <c r="M494" s="241"/>
      <c r="N494" s="178"/>
      <c r="O494" s="242"/>
      <c r="P494" s="243"/>
    </row>
    <row r="495" spans="2:16" ht="12.75">
      <c r="B495" s="238"/>
      <c r="H495" s="155"/>
      <c r="I495" s="239"/>
      <c r="L495" s="240"/>
      <c r="M495" s="241"/>
      <c r="N495" s="178"/>
      <c r="O495" s="242"/>
      <c r="P495" s="243"/>
    </row>
    <row r="496" spans="2:16" ht="12.75">
      <c r="B496" s="238"/>
      <c r="H496" s="155"/>
      <c r="I496" s="239"/>
      <c r="L496" s="240"/>
      <c r="M496" s="241"/>
      <c r="N496" s="178"/>
      <c r="O496" s="242"/>
      <c r="P496" s="243"/>
    </row>
    <row r="497" spans="2:16" ht="12.75">
      <c r="B497" s="238"/>
      <c r="H497" s="155"/>
      <c r="I497" s="239"/>
      <c r="L497" s="240"/>
      <c r="M497" s="241"/>
      <c r="N497" s="178"/>
      <c r="O497" s="242"/>
      <c r="P497" s="243"/>
    </row>
    <row r="498" spans="2:16" ht="12.75">
      <c r="B498" s="238"/>
      <c r="H498" s="155"/>
      <c r="I498" s="239"/>
      <c r="L498" s="240"/>
      <c r="M498" s="241"/>
      <c r="N498" s="178"/>
      <c r="O498" s="242"/>
      <c r="P498" s="243"/>
    </row>
    <row r="499" spans="2:16" ht="12.75">
      <c r="B499" s="238"/>
      <c r="H499" s="155"/>
      <c r="I499" s="239"/>
      <c r="L499" s="240"/>
      <c r="M499" s="241"/>
      <c r="N499" s="178"/>
      <c r="O499" s="242"/>
      <c r="P499" s="243"/>
    </row>
    <row r="500" spans="2:16" ht="12.75">
      <c r="B500" s="238"/>
      <c r="H500" s="155"/>
      <c r="I500" s="239"/>
      <c r="L500" s="240"/>
      <c r="M500" s="241"/>
      <c r="N500" s="178"/>
      <c r="O500" s="242"/>
      <c r="P500" s="243"/>
    </row>
    <row r="501" spans="2:16" ht="12.75">
      <c r="B501" s="238"/>
      <c r="H501" s="155"/>
      <c r="I501" s="239"/>
      <c r="L501" s="240"/>
      <c r="M501" s="241"/>
      <c r="N501" s="178"/>
      <c r="O501" s="242"/>
      <c r="P501" s="243"/>
    </row>
    <row r="502" spans="2:16" ht="12.75">
      <c r="B502" s="238"/>
      <c r="H502" s="155"/>
      <c r="I502" s="239"/>
      <c r="L502" s="240"/>
      <c r="M502" s="241"/>
      <c r="N502" s="178"/>
      <c r="O502" s="242"/>
      <c r="P502" s="243"/>
    </row>
    <row r="503" spans="2:16" ht="12.75">
      <c r="B503" s="238"/>
      <c r="H503" s="155"/>
      <c r="I503" s="239"/>
      <c r="L503" s="240"/>
      <c r="M503" s="241"/>
      <c r="N503" s="178"/>
      <c r="O503" s="242"/>
      <c r="P503" s="243"/>
    </row>
    <row r="504" spans="2:16" ht="12.75">
      <c r="B504" s="238"/>
      <c r="H504" s="155"/>
      <c r="I504" s="239"/>
      <c r="L504" s="240"/>
      <c r="M504" s="241"/>
      <c r="N504" s="178"/>
      <c r="O504" s="242"/>
      <c r="P504" s="243"/>
    </row>
    <row r="505" spans="2:16" ht="12.75">
      <c r="B505" s="238"/>
      <c r="H505" s="155"/>
      <c r="I505" s="239"/>
      <c r="L505" s="240"/>
      <c r="M505" s="241"/>
      <c r="N505" s="178"/>
      <c r="O505" s="242"/>
      <c r="P505" s="243"/>
    </row>
    <row r="506" spans="2:16" ht="12.75">
      <c r="B506" s="238"/>
      <c r="H506" s="155"/>
      <c r="I506" s="239"/>
      <c r="L506" s="240"/>
      <c r="M506" s="241"/>
      <c r="N506" s="178"/>
      <c r="O506" s="242"/>
      <c r="P506" s="243"/>
    </row>
    <row r="507" spans="2:16" ht="12.75">
      <c r="B507" s="238"/>
      <c r="H507" s="155"/>
      <c r="I507" s="239"/>
      <c r="L507" s="240"/>
      <c r="M507" s="241"/>
      <c r="N507" s="178"/>
      <c r="O507" s="242"/>
      <c r="P507" s="243"/>
    </row>
    <row r="508" spans="2:16" ht="12.75">
      <c r="B508" s="238"/>
      <c r="H508" s="155"/>
      <c r="I508" s="239"/>
      <c r="L508" s="240"/>
      <c r="M508" s="241"/>
      <c r="N508" s="178"/>
      <c r="O508" s="242"/>
      <c r="P508" s="243"/>
    </row>
    <row r="509" spans="2:16" ht="12.75">
      <c r="B509" s="238"/>
      <c r="H509" s="155"/>
      <c r="I509" s="239"/>
      <c r="L509" s="240"/>
      <c r="M509" s="241"/>
      <c r="N509" s="178"/>
      <c r="O509" s="242"/>
      <c r="P509" s="243"/>
    </row>
    <row r="510" spans="2:16" ht="12.75">
      <c r="B510" s="238"/>
      <c r="H510" s="155"/>
      <c r="I510" s="239"/>
      <c r="L510" s="240"/>
      <c r="M510" s="241"/>
      <c r="N510" s="178"/>
      <c r="O510" s="242"/>
      <c r="P510" s="243"/>
    </row>
    <row r="511" spans="2:16" ht="12.75">
      <c r="B511" s="238"/>
      <c r="H511" s="155"/>
      <c r="I511" s="239"/>
      <c r="L511" s="240"/>
      <c r="M511" s="241"/>
      <c r="N511" s="178"/>
      <c r="O511" s="242"/>
      <c r="P511" s="243"/>
    </row>
    <row r="512" spans="2:16" ht="12.75">
      <c r="B512" s="238"/>
      <c r="H512" s="155"/>
      <c r="I512" s="239"/>
      <c r="L512" s="240"/>
      <c r="M512" s="241"/>
      <c r="N512" s="178"/>
      <c r="O512" s="242"/>
      <c r="P512" s="243"/>
    </row>
    <row r="513" spans="2:16" ht="12.75">
      <c r="B513" s="238"/>
      <c r="H513" s="155"/>
      <c r="I513" s="239"/>
      <c r="L513" s="240"/>
      <c r="M513" s="241"/>
      <c r="N513" s="178"/>
      <c r="O513" s="242"/>
      <c r="P513" s="243"/>
    </row>
    <row r="514" spans="2:16" ht="12.75">
      <c r="B514" s="238"/>
      <c r="H514" s="155"/>
      <c r="I514" s="239"/>
      <c r="L514" s="240"/>
      <c r="M514" s="241"/>
      <c r="N514" s="178"/>
      <c r="O514" s="242"/>
      <c r="P514" s="243"/>
    </row>
    <row r="515" spans="2:16" ht="12.75">
      <c r="B515" s="238"/>
      <c r="H515" s="155"/>
      <c r="I515" s="239"/>
      <c r="L515" s="240"/>
      <c r="M515" s="241"/>
      <c r="N515" s="178"/>
      <c r="O515" s="242"/>
      <c r="P515" s="243"/>
    </row>
    <row r="516" spans="2:16" ht="12.75">
      <c r="B516" s="238"/>
      <c r="H516" s="155"/>
      <c r="I516" s="239"/>
      <c r="L516" s="240"/>
      <c r="M516" s="241"/>
      <c r="N516" s="178"/>
      <c r="O516" s="242"/>
      <c r="P516" s="243"/>
    </row>
    <row r="517" spans="2:16" ht="12.75">
      <c r="B517" s="238"/>
      <c r="H517" s="155"/>
      <c r="I517" s="239"/>
      <c r="L517" s="240"/>
      <c r="M517" s="241"/>
      <c r="N517" s="178"/>
      <c r="O517" s="242"/>
      <c r="P517" s="243"/>
    </row>
    <row r="518" spans="2:16" ht="12.75">
      <c r="B518" s="238"/>
      <c r="H518" s="155"/>
      <c r="I518" s="239"/>
      <c r="L518" s="240"/>
      <c r="M518" s="241"/>
      <c r="N518" s="178"/>
      <c r="O518" s="242"/>
      <c r="P518" s="243"/>
    </row>
    <row r="519" spans="2:16" ht="12.75">
      <c r="B519" s="238"/>
      <c r="H519" s="155"/>
      <c r="I519" s="239"/>
      <c r="L519" s="240"/>
      <c r="M519" s="241"/>
      <c r="N519" s="178"/>
      <c r="O519" s="242"/>
      <c r="P519" s="243"/>
    </row>
    <row r="520" spans="2:16" ht="12.75">
      <c r="B520" s="238"/>
      <c r="H520" s="155"/>
      <c r="I520" s="239"/>
      <c r="L520" s="240"/>
      <c r="M520" s="241"/>
      <c r="N520" s="178"/>
      <c r="O520" s="242"/>
      <c r="P520" s="243"/>
    </row>
    <row r="521" spans="2:16" ht="12.75">
      <c r="B521" s="238"/>
      <c r="H521" s="155"/>
      <c r="I521" s="239"/>
      <c r="L521" s="240"/>
      <c r="M521" s="241"/>
      <c r="N521" s="178"/>
      <c r="O521" s="242"/>
      <c r="P521" s="243"/>
    </row>
    <row r="522" spans="2:16" ht="12.75">
      <c r="B522" s="238"/>
      <c r="H522" s="155"/>
      <c r="I522" s="239"/>
      <c r="L522" s="240"/>
      <c r="M522" s="241"/>
      <c r="N522" s="178"/>
      <c r="O522" s="242"/>
      <c r="P522" s="243"/>
    </row>
    <row r="523" spans="2:16" ht="12.75">
      <c r="B523" s="238"/>
      <c r="H523" s="155"/>
      <c r="I523" s="239"/>
      <c r="L523" s="240"/>
      <c r="M523" s="241"/>
      <c r="N523" s="178"/>
      <c r="O523" s="242"/>
      <c r="P523" s="243"/>
    </row>
    <row r="524" spans="2:16" ht="12.75">
      <c r="B524" s="238"/>
      <c r="H524" s="155"/>
      <c r="I524" s="239"/>
      <c r="L524" s="240"/>
      <c r="M524" s="241"/>
      <c r="N524" s="178"/>
      <c r="O524" s="242"/>
      <c r="P524" s="243"/>
    </row>
    <row r="525" spans="2:16" ht="12.75">
      <c r="B525" s="238"/>
      <c r="H525" s="155"/>
      <c r="I525" s="239"/>
      <c r="L525" s="240"/>
      <c r="M525" s="241"/>
      <c r="N525" s="178"/>
      <c r="O525" s="242"/>
      <c r="P525" s="243"/>
    </row>
    <row r="526" spans="2:16" ht="12.75">
      <c r="B526" s="238"/>
      <c r="H526" s="155"/>
      <c r="I526" s="239"/>
      <c r="L526" s="240"/>
      <c r="M526" s="241"/>
      <c r="N526" s="178"/>
      <c r="O526" s="242"/>
      <c r="P526" s="243"/>
    </row>
    <row r="527" spans="2:16" ht="12.75">
      <c r="B527" s="238"/>
      <c r="H527" s="155"/>
      <c r="I527" s="239"/>
      <c r="L527" s="240"/>
      <c r="M527" s="241"/>
      <c r="N527" s="178"/>
      <c r="O527" s="242"/>
      <c r="P527" s="243"/>
    </row>
    <row r="528" spans="2:16" ht="12.75">
      <c r="B528" s="238"/>
      <c r="H528" s="155"/>
      <c r="I528" s="239"/>
      <c r="L528" s="240"/>
      <c r="M528" s="241"/>
      <c r="N528" s="178"/>
      <c r="O528" s="242"/>
      <c r="P528" s="243"/>
    </row>
    <row r="529" spans="2:16" ht="12.75">
      <c r="B529" s="238"/>
      <c r="H529" s="155"/>
      <c r="I529" s="239"/>
      <c r="L529" s="240"/>
      <c r="M529" s="241"/>
      <c r="N529" s="178"/>
      <c r="O529" s="242"/>
      <c r="P529" s="243"/>
    </row>
    <row r="530" spans="2:16" ht="12.75">
      <c r="B530" s="238"/>
      <c r="H530" s="155"/>
      <c r="I530" s="239"/>
      <c r="L530" s="240"/>
      <c r="M530" s="241"/>
      <c r="N530" s="178"/>
      <c r="O530" s="242"/>
      <c r="P530" s="243"/>
    </row>
    <row r="531" spans="2:16" ht="12.75">
      <c r="B531" s="238"/>
      <c r="H531" s="155"/>
      <c r="I531" s="239"/>
      <c r="L531" s="240"/>
      <c r="M531" s="241"/>
      <c r="N531" s="178"/>
      <c r="O531" s="242"/>
      <c r="P531" s="243"/>
    </row>
    <row r="532" spans="2:16" ht="12.75">
      <c r="B532" s="238"/>
      <c r="H532" s="155"/>
      <c r="I532" s="239"/>
      <c r="L532" s="240"/>
      <c r="M532" s="241"/>
      <c r="N532" s="178"/>
      <c r="O532" s="242"/>
      <c r="P532" s="243"/>
    </row>
    <row r="533" spans="2:16" ht="12.75">
      <c r="B533" s="238"/>
      <c r="H533" s="155"/>
      <c r="I533" s="239"/>
      <c r="L533" s="240"/>
      <c r="M533" s="241"/>
      <c r="N533" s="178"/>
      <c r="O533" s="242"/>
      <c r="P533" s="243"/>
    </row>
    <row r="534" spans="2:16" ht="12.75">
      <c r="B534" s="238"/>
      <c r="H534" s="155"/>
      <c r="I534" s="239"/>
      <c r="L534" s="240"/>
      <c r="M534" s="241"/>
      <c r="N534" s="178"/>
      <c r="O534" s="242"/>
      <c r="P534" s="243"/>
    </row>
    <row r="535" spans="2:16" ht="12.75">
      <c r="B535" s="238"/>
      <c r="H535" s="155"/>
      <c r="I535" s="239"/>
      <c r="L535" s="240"/>
      <c r="M535" s="241"/>
      <c r="N535" s="178"/>
      <c r="O535" s="242"/>
      <c r="P535" s="243"/>
    </row>
    <row r="536" spans="2:16" ht="12.75">
      <c r="B536" s="238"/>
      <c r="H536" s="155"/>
      <c r="I536" s="239"/>
      <c r="L536" s="240"/>
      <c r="M536" s="241"/>
      <c r="N536" s="178"/>
      <c r="O536" s="242"/>
      <c r="P536" s="243"/>
    </row>
    <row r="537" spans="2:16" ht="12.75">
      <c r="B537" s="238"/>
      <c r="H537" s="155"/>
      <c r="I537" s="239"/>
      <c r="L537" s="240"/>
      <c r="M537" s="241"/>
      <c r="N537" s="178"/>
      <c r="O537" s="242"/>
      <c r="P537" s="243"/>
    </row>
    <row r="538" spans="2:16" ht="12.75">
      <c r="B538" s="238"/>
      <c r="H538" s="155"/>
      <c r="I538" s="239"/>
      <c r="L538" s="240"/>
      <c r="M538" s="241"/>
      <c r="N538" s="178"/>
      <c r="O538" s="242"/>
      <c r="P538" s="243"/>
    </row>
    <row r="539" spans="2:16" ht="12.75">
      <c r="B539" s="238"/>
      <c r="H539" s="155"/>
      <c r="I539" s="239"/>
      <c r="L539" s="240"/>
      <c r="M539" s="241"/>
      <c r="N539" s="178"/>
      <c r="O539" s="242"/>
      <c r="P539" s="243"/>
    </row>
    <row r="540" spans="2:16" ht="12.75">
      <c r="B540" s="238"/>
      <c r="H540" s="155"/>
      <c r="I540" s="239"/>
      <c r="L540" s="240"/>
      <c r="M540" s="241"/>
      <c r="N540" s="178"/>
      <c r="O540" s="242"/>
      <c r="P540" s="243"/>
    </row>
    <row r="541" spans="2:16" ht="12.75">
      <c r="B541" s="238"/>
      <c r="H541" s="155"/>
      <c r="I541" s="239"/>
      <c r="L541" s="240"/>
      <c r="M541" s="241"/>
      <c r="N541" s="178"/>
      <c r="O541" s="242"/>
      <c r="P541" s="243"/>
    </row>
    <row r="542" spans="2:16" ht="12.75">
      <c r="B542" s="238"/>
      <c r="H542" s="155"/>
      <c r="I542" s="239"/>
      <c r="L542" s="240"/>
      <c r="M542" s="241"/>
      <c r="N542" s="178"/>
      <c r="O542" s="242"/>
      <c r="P542" s="243"/>
    </row>
    <row r="543" spans="2:16" ht="12.75">
      <c r="B543" s="238"/>
      <c r="H543" s="155"/>
      <c r="I543" s="239"/>
      <c r="L543" s="240"/>
      <c r="M543" s="241"/>
      <c r="N543" s="178"/>
      <c r="O543" s="242"/>
      <c r="P543" s="243"/>
    </row>
    <row r="544" spans="2:16" ht="12.75">
      <c r="B544" s="238"/>
      <c r="H544" s="155"/>
      <c r="I544" s="239"/>
      <c r="L544" s="240"/>
      <c r="M544" s="241"/>
      <c r="N544" s="178"/>
      <c r="O544" s="242"/>
      <c r="P544" s="243"/>
    </row>
    <row r="545" spans="2:16" ht="12.75">
      <c r="B545" s="238"/>
      <c r="H545" s="155"/>
      <c r="I545" s="239"/>
      <c r="L545" s="240"/>
      <c r="M545" s="241"/>
      <c r="N545" s="178"/>
      <c r="O545" s="242"/>
      <c r="P545" s="243"/>
    </row>
    <row r="546" spans="2:16" ht="12.75">
      <c r="B546" s="238"/>
      <c r="H546" s="155"/>
      <c r="I546" s="239"/>
      <c r="L546" s="240"/>
      <c r="M546" s="241"/>
      <c r="N546" s="178"/>
      <c r="O546" s="242"/>
      <c r="P546" s="243"/>
    </row>
    <row r="547" spans="2:16" ht="12.75">
      <c r="B547" s="238"/>
      <c r="H547" s="155"/>
      <c r="I547" s="239"/>
      <c r="L547" s="240"/>
      <c r="M547" s="241"/>
      <c r="N547" s="178"/>
      <c r="O547" s="242"/>
      <c r="P547" s="243"/>
    </row>
    <row r="548" spans="2:16" ht="12.75">
      <c r="B548" s="238"/>
      <c r="H548" s="155"/>
      <c r="I548" s="239"/>
      <c r="L548" s="240"/>
      <c r="M548" s="241"/>
      <c r="N548" s="178"/>
      <c r="O548" s="242"/>
      <c r="P548" s="243"/>
    </row>
    <row r="549" spans="2:16" ht="12.75">
      <c r="B549" s="238"/>
      <c r="H549" s="155"/>
      <c r="I549" s="239"/>
      <c r="L549" s="240"/>
      <c r="M549" s="241"/>
      <c r="N549" s="178"/>
      <c r="O549" s="242"/>
      <c r="P549" s="243"/>
    </row>
    <row r="550" spans="2:16" ht="12.75">
      <c r="B550" s="238"/>
      <c r="H550" s="155"/>
      <c r="I550" s="239"/>
      <c r="L550" s="240"/>
      <c r="M550" s="241"/>
      <c r="N550" s="178"/>
      <c r="O550" s="242"/>
      <c r="P550" s="243"/>
    </row>
    <row r="551" spans="2:16" ht="12.75">
      <c r="B551" s="238"/>
      <c r="H551" s="155"/>
      <c r="I551" s="239"/>
      <c r="L551" s="240"/>
      <c r="M551" s="241"/>
      <c r="N551" s="178"/>
      <c r="O551" s="242"/>
      <c r="P551" s="243"/>
    </row>
    <row r="552" spans="2:16" ht="12.75">
      <c r="B552" s="238"/>
      <c r="H552" s="155"/>
      <c r="I552" s="239"/>
      <c r="L552" s="240"/>
      <c r="M552" s="241"/>
      <c r="N552" s="178"/>
      <c r="O552" s="242"/>
      <c r="P552" s="243"/>
    </row>
    <row r="553" spans="2:16" ht="12.75">
      <c r="B553" s="238"/>
      <c r="H553" s="155"/>
      <c r="I553" s="239"/>
      <c r="L553" s="240"/>
      <c r="M553" s="241"/>
      <c r="N553" s="178"/>
      <c r="O553" s="242"/>
      <c r="P553" s="243"/>
    </row>
    <row r="554" spans="2:16" ht="12.75">
      <c r="B554" s="238"/>
      <c r="H554" s="155"/>
      <c r="I554" s="239"/>
      <c r="L554" s="240"/>
      <c r="M554" s="241"/>
      <c r="N554" s="178"/>
      <c r="O554" s="242"/>
      <c r="P554" s="243"/>
    </row>
    <row r="555" spans="2:16" ht="12.75">
      <c r="B555" s="238"/>
      <c r="H555" s="155"/>
      <c r="I555" s="239"/>
      <c r="L555" s="240"/>
      <c r="M555" s="241"/>
      <c r="N555" s="178"/>
      <c r="O555" s="242"/>
      <c r="P555" s="243"/>
    </row>
    <row r="556" spans="2:16" ht="12.75">
      <c r="B556" s="238"/>
      <c r="H556" s="155"/>
      <c r="I556" s="239"/>
      <c r="L556" s="240"/>
      <c r="M556" s="241"/>
      <c r="N556" s="178"/>
      <c r="O556" s="242"/>
      <c r="P556" s="243"/>
    </row>
    <row r="557" spans="2:16" ht="12.75">
      <c r="B557" s="238"/>
      <c r="H557" s="155"/>
      <c r="I557" s="239"/>
      <c r="L557" s="240"/>
      <c r="M557" s="241"/>
      <c r="N557" s="178"/>
      <c r="O557" s="242"/>
      <c r="P557" s="243"/>
    </row>
    <row r="558" spans="2:16" ht="12.75">
      <c r="B558" s="238"/>
      <c r="H558" s="155"/>
      <c r="I558" s="239"/>
      <c r="L558" s="240"/>
      <c r="M558" s="241"/>
      <c r="N558" s="178"/>
      <c r="O558" s="242"/>
      <c r="P558" s="243"/>
    </row>
    <row r="559" spans="2:16" ht="12.75">
      <c r="B559" s="238"/>
      <c r="H559" s="155"/>
      <c r="I559" s="239"/>
      <c r="L559" s="240"/>
      <c r="M559" s="241"/>
      <c r="N559" s="178"/>
      <c r="O559" s="242"/>
      <c r="P559" s="243"/>
    </row>
    <row r="560" spans="2:16" ht="12.75">
      <c r="B560" s="238"/>
      <c r="H560" s="155"/>
      <c r="I560" s="239"/>
      <c r="L560" s="240"/>
      <c r="M560" s="241"/>
      <c r="N560" s="178"/>
      <c r="O560" s="242"/>
      <c r="P560" s="243"/>
    </row>
    <row r="561" spans="2:16" ht="12.75">
      <c r="B561" s="238"/>
      <c r="H561" s="155"/>
      <c r="I561" s="239"/>
      <c r="L561" s="240"/>
      <c r="M561" s="241"/>
      <c r="N561" s="178"/>
      <c r="O561" s="242"/>
      <c r="P561" s="243"/>
    </row>
    <row r="562" spans="2:16" ht="12.75">
      <c r="B562" s="238"/>
      <c r="H562" s="155"/>
      <c r="I562" s="239"/>
      <c r="L562" s="240"/>
      <c r="M562" s="241"/>
      <c r="N562" s="178"/>
      <c r="O562" s="242"/>
      <c r="P562" s="243"/>
    </row>
    <row r="563" spans="2:16" ht="12.75">
      <c r="B563" s="238"/>
      <c r="H563" s="155"/>
      <c r="I563" s="239"/>
      <c r="L563" s="240"/>
      <c r="M563" s="241"/>
      <c r="N563" s="178"/>
      <c r="O563" s="242"/>
      <c r="P563" s="243"/>
    </row>
    <row r="564" spans="2:16" ht="12.75">
      <c r="B564" s="238"/>
      <c r="H564" s="155"/>
      <c r="I564" s="239"/>
      <c r="L564" s="240"/>
      <c r="M564" s="241"/>
      <c r="N564" s="178"/>
      <c r="O564" s="242"/>
      <c r="P564" s="243"/>
    </row>
    <row r="565" spans="2:16" ht="12.75">
      <c r="B565" s="238"/>
      <c r="H565" s="155"/>
      <c r="I565" s="239"/>
      <c r="L565" s="240"/>
      <c r="M565" s="241"/>
      <c r="N565" s="178"/>
      <c r="O565" s="242"/>
      <c r="P565" s="243"/>
    </row>
    <row r="566" spans="2:16" ht="12.75">
      <c r="B566" s="238"/>
      <c r="H566" s="155"/>
      <c r="I566" s="239"/>
      <c r="L566" s="240"/>
      <c r="M566" s="241"/>
      <c r="N566" s="178"/>
      <c r="O566" s="242"/>
      <c r="P566" s="243"/>
    </row>
    <row r="567" spans="2:16" ht="12.75">
      <c r="B567" s="238"/>
      <c r="H567" s="155"/>
      <c r="I567" s="239"/>
      <c r="L567" s="240"/>
      <c r="M567" s="241"/>
      <c r="N567" s="178"/>
      <c r="O567" s="242"/>
      <c r="P567" s="243"/>
    </row>
    <row r="568" spans="2:16" ht="12.75">
      <c r="B568" s="238"/>
      <c r="H568" s="155"/>
      <c r="I568" s="239"/>
      <c r="L568" s="240"/>
      <c r="M568" s="241"/>
      <c r="N568" s="178"/>
      <c r="O568" s="242"/>
      <c r="P568" s="243"/>
    </row>
    <row r="569" spans="2:16" ht="12.75">
      <c r="B569" s="238"/>
      <c r="H569" s="155"/>
      <c r="I569" s="239"/>
      <c r="L569" s="240"/>
      <c r="M569" s="241"/>
      <c r="N569" s="178"/>
      <c r="O569" s="242"/>
      <c r="P569" s="243"/>
    </row>
    <row r="570" spans="2:16" ht="12.75">
      <c r="B570" s="238"/>
      <c r="H570" s="155"/>
      <c r="I570" s="239"/>
      <c r="L570" s="240"/>
      <c r="M570" s="241"/>
      <c r="N570" s="178"/>
      <c r="O570" s="242"/>
      <c r="P570" s="243"/>
    </row>
    <row r="571" spans="2:16" ht="12.75">
      <c r="B571" s="238"/>
      <c r="H571" s="155"/>
      <c r="I571" s="239"/>
      <c r="L571" s="240"/>
      <c r="M571" s="241"/>
      <c r="N571" s="178"/>
      <c r="O571" s="242"/>
      <c r="P571" s="243"/>
    </row>
    <row r="572" spans="2:16" ht="12.75">
      <c r="B572" s="238"/>
      <c r="H572" s="155"/>
      <c r="I572" s="239"/>
      <c r="L572" s="240"/>
      <c r="M572" s="241"/>
      <c r="N572" s="178"/>
      <c r="O572" s="242"/>
      <c r="P572" s="243"/>
    </row>
    <row r="573" spans="2:16" ht="12.75">
      <c r="B573" s="238"/>
      <c r="H573" s="155"/>
      <c r="I573" s="239"/>
      <c r="L573" s="240"/>
      <c r="M573" s="241"/>
      <c r="N573" s="178"/>
      <c r="O573" s="242"/>
      <c r="P573" s="243"/>
    </row>
    <row r="574" spans="2:16" ht="12.75">
      <c r="B574" s="238"/>
      <c r="H574" s="155"/>
      <c r="I574" s="239"/>
      <c r="L574" s="240"/>
      <c r="M574" s="241"/>
      <c r="N574" s="178"/>
      <c r="O574" s="242"/>
      <c r="P574" s="243"/>
    </row>
    <row r="575" spans="2:16" ht="12.75">
      <c r="B575" s="238"/>
      <c r="H575" s="155"/>
      <c r="I575" s="239"/>
      <c r="L575" s="240"/>
      <c r="M575" s="241"/>
      <c r="N575" s="178"/>
      <c r="O575" s="242"/>
      <c r="P575" s="243"/>
    </row>
    <row r="576" spans="2:16" ht="12.75">
      <c r="B576" s="238"/>
      <c r="H576" s="155"/>
      <c r="I576" s="239"/>
      <c r="L576" s="240"/>
      <c r="M576" s="241"/>
      <c r="N576" s="178"/>
      <c r="O576" s="242"/>
      <c r="P576" s="243"/>
    </row>
    <row r="577" spans="2:16" ht="12.75">
      <c r="B577" s="238"/>
      <c r="H577" s="155"/>
      <c r="I577" s="239"/>
      <c r="L577" s="240"/>
      <c r="M577" s="241"/>
      <c r="N577" s="178"/>
      <c r="O577" s="242"/>
      <c r="P577" s="243"/>
    </row>
    <row r="578" spans="2:16" ht="12.75">
      <c r="B578" s="238"/>
      <c r="H578" s="155"/>
      <c r="I578" s="239"/>
      <c r="L578" s="240"/>
      <c r="M578" s="241"/>
      <c r="N578" s="178"/>
      <c r="O578" s="242"/>
      <c r="P578" s="243"/>
    </row>
    <row r="579" spans="2:16" ht="12.75">
      <c r="B579" s="238"/>
      <c r="H579" s="155"/>
      <c r="I579" s="239"/>
      <c r="L579" s="240"/>
      <c r="M579" s="241"/>
      <c r="N579" s="178"/>
      <c r="O579" s="242"/>
      <c r="P579" s="243"/>
    </row>
    <row r="580" spans="2:16" ht="12.75">
      <c r="B580" s="238"/>
      <c r="H580" s="155"/>
      <c r="I580" s="239"/>
      <c r="L580" s="240"/>
      <c r="M580" s="241"/>
      <c r="N580" s="178"/>
      <c r="O580" s="242"/>
      <c r="P580" s="243"/>
    </row>
    <row r="581" spans="2:16" ht="12.75">
      <c r="B581" s="238"/>
      <c r="H581" s="155"/>
      <c r="I581" s="239"/>
      <c r="L581" s="240"/>
      <c r="M581" s="241"/>
      <c r="N581" s="178"/>
      <c r="O581" s="242"/>
      <c r="P581" s="243"/>
    </row>
    <row r="582" spans="2:16" ht="12.75">
      <c r="B582" s="238"/>
      <c r="H582" s="155"/>
      <c r="I582" s="239"/>
      <c r="L582" s="240"/>
      <c r="M582" s="241"/>
      <c r="N582" s="178"/>
      <c r="O582" s="242"/>
      <c r="P582" s="243"/>
    </row>
    <row r="583" spans="2:16" ht="12.75">
      <c r="B583" s="238"/>
      <c r="H583" s="155"/>
      <c r="I583" s="239"/>
      <c r="L583" s="240"/>
      <c r="M583" s="241"/>
      <c r="N583" s="178"/>
      <c r="O583" s="242"/>
      <c r="P583" s="243"/>
    </row>
    <row r="584" spans="2:16" ht="12.75">
      <c r="B584" s="238"/>
      <c r="H584" s="155"/>
      <c r="I584" s="239"/>
      <c r="L584" s="240"/>
      <c r="M584" s="241"/>
      <c r="N584" s="178"/>
      <c r="O584" s="242"/>
      <c r="P584" s="243"/>
    </row>
    <row r="585" spans="2:16" ht="12.75">
      <c r="B585" s="238"/>
      <c r="H585" s="155"/>
      <c r="I585" s="239"/>
      <c r="L585" s="240"/>
      <c r="M585" s="241"/>
      <c r="N585" s="178"/>
      <c r="O585" s="242"/>
      <c r="P585" s="243"/>
    </row>
    <row r="586" spans="2:16" ht="12.75">
      <c r="B586" s="238"/>
      <c r="H586" s="155"/>
      <c r="I586" s="239"/>
      <c r="L586" s="240"/>
      <c r="M586" s="241"/>
      <c r="N586" s="178"/>
      <c r="O586" s="242"/>
      <c r="P586" s="243"/>
    </row>
    <row r="587" spans="2:16" ht="12.75">
      <c r="B587" s="238"/>
      <c r="H587" s="155"/>
      <c r="I587" s="239"/>
      <c r="L587" s="240"/>
      <c r="M587" s="241"/>
      <c r="N587" s="178"/>
      <c r="O587" s="242"/>
      <c r="P587" s="243"/>
    </row>
    <row r="588" spans="2:16" ht="12.75">
      <c r="B588" s="238"/>
      <c r="H588" s="155"/>
      <c r="I588" s="239"/>
      <c r="L588" s="240"/>
      <c r="M588" s="241"/>
      <c r="N588" s="178"/>
      <c r="O588" s="242"/>
      <c r="P588" s="243"/>
    </row>
    <row r="589" spans="2:16" ht="12.75">
      <c r="B589" s="238"/>
      <c r="H589" s="155"/>
      <c r="I589" s="239"/>
      <c r="L589" s="240"/>
      <c r="M589" s="241"/>
      <c r="N589" s="178"/>
      <c r="O589" s="242"/>
      <c r="P589" s="243"/>
    </row>
    <row r="590" spans="2:16" ht="12.75">
      <c r="B590" s="238"/>
      <c r="H590" s="155"/>
      <c r="I590" s="239"/>
      <c r="L590" s="240"/>
      <c r="M590" s="241"/>
      <c r="N590" s="178"/>
      <c r="O590" s="242"/>
      <c r="P590" s="243"/>
    </row>
    <row r="591" spans="2:16" ht="12.75">
      <c r="B591" s="238"/>
      <c r="H591" s="155"/>
      <c r="I591" s="239"/>
      <c r="L591" s="240"/>
      <c r="M591" s="241"/>
      <c r="N591" s="178"/>
      <c r="O591" s="242"/>
      <c r="P591" s="243"/>
    </row>
    <row r="592" spans="2:16" ht="12.75">
      <c r="B592" s="238"/>
      <c r="H592" s="155"/>
      <c r="I592" s="239"/>
      <c r="L592" s="240"/>
      <c r="M592" s="241"/>
      <c r="N592" s="178"/>
      <c r="O592" s="242"/>
      <c r="P592" s="243"/>
    </row>
    <row r="593" spans="2:16" ht="12.75">
      <c r="B593" s="238"/>
      <c r="H593" s="155"/>
      <c r="I593" s="239"/>
      <c r="L593" s="240"/>
      <c r="M593" s="241"/>
      <c r="N593" s="178"/>
      <c r="O593" s="242"/>
      <c r="P593" s="243"/>
    </row>
    <row r="594" spans="2:16" ht="12.75">
      <c r="B594" s="238"/>
      <c r="H594" s="155"/>
      <c r="I594" s="239"/>
      <c r="L594" s="240"/>
      <c r="M594" s="241"/>
      <c r="N594" s="178"/>
      <c r="O594" s="242"/>
      <c r="P594" s="243"/>
    </row>
    <row r="595" spans="2:16" ht="12.75">
      <c r="B595" s="238"/>
      <c r="H595" s="155"/>
      <c r="I595" s="239"/>
      <c r="L595" s="240"/>
      <c r="M595" s="241"/>
      <c r="N595" s="178"/>
      <c r="O595" s="242"/>
      <c r="P595" s="243"/>
    </row>
    <row r="596" spans="2:16" ht="12.75">
      <c r="B596" s="238"/>
      <c r="H596" s="155"/>
      <c r="I596" s="239"/>
      <c r="L596" s="240"/>
      <c r="M596" s="241"/>
      <c r="N596" s="178"/>
      <c r="O596" s="242"/>
      <c r="P596" s="243"/>
    </row>
    <row r="597" spans="2:16" ht="12.75">
      <c r="B597" s="238"/>
      <c r="H597" s="155"/>
      <c r="I597" s="239"/>
      <c r="L597" s="240"/>
      <c r="M597" s="241"/>
      <c r="N597" s="178"/>
      <c r="O597" s="242"/>
      <c r="P597" s="243"/>
    </row>
    <row r="598" spans="2:16" ht="12.75">
      <c r="B598" s="238"/>
      <c r="H598" s="155"/>
      <c r="I598" s="239"/>
      <c r="L598" s="240"/>
      <c r="M598" s="241"/>
      <c r="N598" s="178"/>
      <c r="O598" s="242"/>
      <c r="P598" s="243"/>
    </row>
    <row r="599" spans="2:16" ht="12.75">
      <c r="B599" s="238"/>
      <c r="H599" s="155"/>
      <c r="I599" s="239"/>
      <c r="L599" s="240"/>
      <c r="M599" s="241"/>
      <c r="N599" s="178"/>
      <c r="O599" s="242"/>
      <c r="P599" s="243"/>
    </row>
    <row r="600" spans="2:16" ht="12.75">
      <c r="B600" s="238"/>
      <c r="H600" s="155"/>
      <c r="I600" s="239"/>
      <c r="L600" s="240"/>
      <c r="M600" s="241"/>
      <c r="N600" s="178"/>
      <c r="O600" s="242"/>
      <c r="P600" s="243"/>
    </row>
    <row r="601" spans="2:16" ht="12.75">
      <c r="B601" s="238"/>
      <c r="H601" s="155"/>
      <c r="I601" s="239"/>
      <c r="L601" s="240"/>
      <c r="M601" s="241"/>
      <c r="N601" s="178"/>
      <c r="O601" s="242"/>
      <c r="P601" s="243"/>
    </row>
    <row r="602" spans="2:16" ht="12.75">
      <c r="B602" s="238"/>
      <c r="H602" s="155"/>
      <c r="I602" s="239"/>
      <c r="L602" s="240"/>
      <c r="M602" s="241"/>
      <c r="N602" s="178"/>
      <c r="O602" s="242"/>
      <c r="P602" s="243"/>
    </row>
    <row r="603" spans="2:16" ht="12.75">
      <c r="B603" s="238"/>
      <c r="H603" s="155"/>
      <c r="I603" s="239"/>
      <c r="L603" s="240"/>
      <c r="M603" s="241"/>
      <c r="N603" s="178"/>
      <c r="O603" s="242"/>
      <c r="P603" s="243"/>
    </row>
    <row r="604" spans="2:16" ht="12.75">
      <c r="B604" s="238"/>
      <c r="H604" s="155"/>
      <c r="I604" s="239"/>
      <c r="L604" s="240"/>
      <c r="M604" s="241"/>
      <c r="N604" s="178"/>
      <c r="O604" s="242"/>
      <c r="P604" s="243"/>
    </row>
    <row r="605" spans="2:16" ht="12.75">
      <c r="B605" s="238"/>
      <c r="H605" s="155"/>
      <c r="I605" s="239"/>
      <c r="L605" s="240"/>
      <c r="M605" s="241"/>
      <c r="N605" s="178"/>
      <c r="O605" s="242"/>
      <c r="P605" s="243"/>
    </row>
    <row r="606" spans="2:16" ht="12.75">
      <c r="B606" s="238"/>
      <c r="H606" s="155"/>
      <c r="I606" s="239"/>
      <c r="L606" s="240"/>
      <c r="M606" s="241"/>
      <c r="N606" s="178"/>
      <c r="O606" s="242"/>
      <c r="P606" s="243"/>
    </row>
    <row r="607" spans="2:16" ht="12.75">
      <c r="B607" s="238"/>
      <c r="H607" s="155"/>
      <c r="I607" s="239"/>
      <c r="L607" s="240"/>
      <c r="M607" s="241"/>
      <c r="N607" s="178"/>
      <c r="O607" s="242"/>
      <c r="P607" s="243"/>
    </row>
    <row r="608" spans="2:16" ht="12.75">
      <c r="B608" s="238"/>
      <c r="H608" s="155"/>
      <c r="I608" s="239"/>
      <c r="L608" s="240"/>
      <c r="M608" s="241"/>
      <c r="N608" s="178"/>
      <c r="O608" s="242"/>
      <c r="P608" s="243"/>
    </row>
    <row r="609" spans="2:16" ht="12.75">
      <c r="B609" s="238"/>
      <c r="H609" s="155"/>
      <c r="I609" s="239"/>
      <c r="L609" s="240"/>
      <c r="M609" s="241"/>
      <c r="N609" s="178"/>
      <c r="O609" s="242"/>
      <c r="P609" s="243"/>
    </row>
    <row r="610" spans="2:16" ht="12.75">
      <c r="B610" s="238"/>
      <c r="H610" s="155"/>
      <c r="I610" s="239"/>
      <c r="L610" s="240"/>
      <c r="M610" s="241"/>
      <c r="N610" s="178"/>
      <c r="O610" s="242"/>
      <c r="P610" s="243"/>
    </row>
    <row r="611" spans="2:16" ht="12.75">
      <c r="B611" s="238"/>
      <c r="H611" s="155"/>
      <c r="I611" s="239"/>
      <c r="L611" s="240"/>
      <c r="M611" s="241"/>
      <c r="N611" s="178"/>
      <c r="O611" s="242"/>
      <c r="P611" s="243"/>
    </row>
    <row r="612" spans="2:16" ht="12.75">
      <c r="B612" s="238"/>
      <c r="H612" s="155"/>
      <c r="I612" s="239"/>
      <c r="L612" s="240"/>
      <c r="M612" s="241"/>
      <c r="N612" s="178"/>
      <c r="O612" s="242"/>
      <c r="P612" s="243"/>
    </row>
    <row r="613" spans="2:16" ht="12.75">
      <c r="B613" s="238"/>
      <c r="H613" s="155"/>
      <c r="I613" s="239"/>
      <c r="L613" s="240"/>
      <c r="M613" s="241"/>
      <c r="N613" s="178"/>
      <c r="O613" s="242"/>
      <c r="P613" s="243"/>
    </row>
    <row r="614" spans="2:16" ht="12.75">
      <c r="B614" s="238"/>
      <c r="H614" s="155"/>
      <c r="I614" s="239"/>
      <c r="L614" s="240"/>
      <c r="M614" s="241"/>
      <c r="N614" s="178"/>
      <c r="O614" s="242"/>
      <c r="P614" s="243"/>
    </row>
    <row r="615" spans="2:16" ht="12.75">
      <c r="B615" s="238"/>
      <c r="H615" s="155"/>
      <c r="I615" s="239"/>
      <c r="L615" s="240"/>
      <c r="M615" s="241"/>
      <c r="N615" s="178"/>
      <c r="O615" s="242"/>
      <c r="P615" s="243"/>
    </row>
    <row r="616" spans="2:16" ht="12.75">
      <c r="B616" s="238"/>
      <c r="H616" s="155"/>
      <c r="I616" s="239"/>
      <c r="L616" s="240"/>
      <c r="M616" s="241"/>
      <c r="N616" s="178"/>
      <c r="O616" s="242"/>
      <c r="P616" s="243"/>
    </row>
    <row r="617" spans="2:16" ht="12.75">
      <c r="B617" s="238"/>
      <c r="H617" s="155"/>
      <c r="I617" s="239"/>
      <c r="L617" s="240"/>
      <c r="M617" s="241"/>
      <c r="N617" s="178"/>
      <c r="O617" s="242"/>
      <c r="P617" s="243"/>
    </row>
    <row r="618" spans="2:16" ht="12.75">
      <c r="B618" s="238"/>
      <c r="H618" s="155"/>
      <c r="I618" s="239"/>
      <c r="L618" s="240"/>
      <c r="M618" s="241"/>
      <c r="N618" s="178"/>
      <c r="O618" s="242"/>
      <c r="P618" s="243"/>
    </row>
    <row r="619" spans="2:16" ht="12.75">
      <c r="B619" s="238"/>
      <c r="H619" s="155"/>
      <c r="I619" s="239"/>
      <c r="L619" s="240"/>
      <c r="M619" s="241"/>
      <c r="N619" s="178"/>
      <c r="O619" s="242"/>
      <c r="P619" s="243"/>
    </row>
    <row r="620" spans="2:16" ht="12.75">
      <c r="B620" s="238"/>
      <c r="H620" s="155"/>
      <c r="I620" s="239"/>
      <c r="L620" s="240"/>
      <c r="M620" s="241"/>
      <c r="N620" s="178"/>
      <c r="O620" s="242"/>
      <c r="P620" s="243"/>
    </row>
    <row r="621" spans="2:16" ht="12.75">
      <c r="B621" s="238"/>
      <c r="H621" s="155"/>
      <c r="I621" s="239"/>
      <c r="L621" s="240"/>
      <c r="M621" s="241"/>
      <c r="N621" s="178"/>
      <c r="O621" s="242"/>
      <c r="P621" s="243"/>
    </row>
    <row r="622" spans="2:16" ht="12.75">
      <c r="B622" s="238"/>
      <c r="H622" s="155"/>
      <c r="I622" s="239"/>
      <c r="L622" s="240"/>
      <c r="M622" s="241"/>
      <c r="N622" s="178"/>
      <c r="O622" s="242"/>
      <c r="P622" s="243"/>
    </row>
    <row r="623" spans="2:16" ht="12.75">
      <c r="B623" s="238"/>
      <c r="H623" s="155"/>
      <c r="I623" s="239"/>
      <c r="L623" s="240"/>
      <c r="M623" s="241"/>
      <c r="N623" s="178"/>
      <c r="O623" s="242"/>
      <c r="P623" s="243"/>
    </row>
    <row r="624" spans="2:16" ht="12.75">
      <c r="B624" s="238"/>
      <c r="H624" s="155"/>
      <c r="I624" s="239"/>
      <c r="L624" s="240"/>
      <c r="M624" s="241"/>
      <c r="N624" s="178"/>
      <c r="O624" s="242"/>
      <c r="P624" s="243"/>
    </row>
    <row r="625" spans="2:16" ht="12.75">
      <c r="B625" s="238"/>
      <c r="H625" s="155"/>
      <c r="I625" s="239"/>
      <c r="L625" s="240"/>
      <c r="M625" s="241"/>
      <c r="N625" s="178"/>
      <c r="O625" s="242"/>
      <c r="P625" s="243"/>
    </row>
    <row r="626" spans="2:16" ht="12.75">
      <c r="B626" s="238"/>
      <c r="H626" s="155"/>
      <c r="I626" s="239"/>
      <c r="L626" s="240"/>
      <c r="M626" s="241"/>
      <c r="N626" s="178"/>
      <c r="O626" s="242"/>
      <c r="P626" s="243"/>
    </row>
    <row r="627" spans="2:16" ht="12.75">
      <c r="B627" s="238"/>
      <c r="H627" s="155"/>
      <c r="I627" s="239"/>
      <c r="L627" s="240"/>
      <c r="M627" s="241"/>
      <c r="N627" s="178"/>
      <c r="O627" s="242"/>
      <c r="P627" s="243"/>
    </row>
    <row r="628" spans="2:16" ht="12.75">
      <c r="B628" s="238"/>
      <c r="H628" s="155"/>
      <c r="I628" s="239"/>
      <c r="L628" s="240"/>
      <c r="M628" s="241"/>
      <c r="N628" s="178"/>
      <c r="O628" s="242"/>
      <c r="P628" s="243"/>
    </row>
    <row r="629" spans="2:16" ht="12.75">
      <c r="B629" s="238"/>
      <c r="H629" s="155"/>
      <c r="I629" s="239"/>
      <c r="L629" s="240"/>
      <c r="M629" s="241"/>
      <c r="N629" s="178"/>
      <c r="O629" s="242"/>
      <c r="P629" s="243"/>
    </row>
    <row r="630" spans="2:16" ht="12.75">
      <c r="B630" s="238"/>
      <c r="H630" s="155"/>
      <c r="I630" s="239"/>
      <c r="L630" s="240"/>
      <c r="M630" s="241"/>
      <c r="N630" s="178"/>
      <c r="O630" s="242"/>
      <c r="P630" s="243"/>
    </row>
    <row r="631" spans="2:16" ht="12.75">
      <c r="B631" s="238"/>
      <c r="H631" s="155"/>
      <c r="I631" s="239"/>
      <c r="L631" s="240"/>
      <c r="M631" s="241"/>
      <c r="N631" s="178"/>
      <c r="O631" s="242"/>
      <c r="P631" s="243"/>
    </row>
    <row r="632" spans="2:16" ht="12.75">
      <c r="B632" s="238"/>
      <c r="H632" s="155"/>
      <c r="I632" s="239"/>
      <c r="L632" s="240"/>
      <c r="M632" s="241"/>
      <c r="N632" s="178"/>
      <c r="O632" s="242"/>
      <c r="P632" s="243"/>
    </row>
    <row r="633" spans="2:16" ht="12.75">
      <c r="B633" s="238"/>
      <c r="H633" s="155"/>
      <c r="I633" s="239"/>
      <c r="L633" s="240"/>
      <c r="M633" s="241"/>
      <c r="N633" s="178"/>
      <c r="O633" s="242"/>
      <c r="P633" s="243"/>
    </row>
    <row r="634" spans="2:16" ht="12.75">
      <c r="B634" s="238"/>
      <c r="H634" s="155"/>
      <c r="I634" s="239"/>
      <c r="L634" s="240"/>
      <c r="M634" s="241"/>
      <c r="N634" s="178"/>
      <c r="O634" s="242"/>
      <c r="P634" s="243"/>
    </row>
    <row r="635" spans="2:16" ht="12.75">
      <c r="B635" s="238"/>
      <c r="H635" s="155"/>
      <c r="I635" s="239"/>
      <c r="L635" s="240"/>
      <c r="M635" s="241"/>
      <c r="N635" s="178"/>
      <c r="O635" s="242"/>
      <c r="P635" s="243"/>
    </row>
    <row r="636" spans="2:16" ht="12.75">
      <c r="B636" s="238"/>
      <c r="H636" s="155"/>
      <c r="I636" s="239"/>
      <c r="L636" s="240"/>
      <c r="M636" s="241"/>
      <c r="N636" s="178"/>
      <c r="O636" s="242"/>
      <c r="P636" s="243"/>
    </row>
    <row r="637" spans="2:16" ht="12.75">
      <c r="B637" s="238"/>
      <c r="H637" s="155"/>
      <c r="I637" s="239"/>
      <c r="L637" s="240"/>
      <c r="M637" s="241"/>
      <c r="N637" s="178"/>
      <c r="O637" s="242"/>
      <c r="P637" s="243"/>
    </row>
    <row r="638" spans="2:16" ht="12.75">
      <c r="B638" s="238"/>
      <c r="H638" s="155"/>
      <c r="I638" s="239"/>
      <c r="L638" s="240"/>
      <c r="M638" s="241"/>
      <c r="N638" s="178"/>
      <c r="O638" s="242"/>
      <c r="P638" s="243"/>
    </row>
    <row r="639" spans="2:16" ht="12.75">
      <c r="B639" s="238"/>
      <c r="H639" s="155"/>
      <c r="I639" s="239"/>
      <c r="L639" s="240"/>
      <c r="M639" s="241"/>
      <c r="N639" s="178"/>
      <c r="O639" s="242"/>
      <c r="P639" s="243"/>
    </row>
    <row r="640" spans="2:16" ht="12.75">
      <c r="B640" s="238"/>
      <c r="H640" s="155"/>
      <c r="I640" s="239"/>
      <c r="L640" s="240"/>
      <c r="M640" s="241"/>
      <c r="N640" s="178"/>
      <c r="O640" s="242"/>
      <c r="P640" s="243"/>
    </row>
    <row r="641" spans="2:16" ht="12.75">
      <c r="B641" s="238"/>
      <c r="H641" s="155"/>
      <c r="I641" s="239"/>
      <c r="L641" s="240"/>
      <c r="M641" s="241"/>
      <c r="N641" s="178"/>
      <c r="O641" s="242"/>
      <c r="P641" s="243"/>
    </row>
    <row r="642" spans="2:16" ht="12.75">
      <c r="B642" s="238"/>
      <c r="H642" s="155"/>
      <c r="I642" s="239"/>
      <c r="L642" s="240"/>
      <c r="M642" s="241"/>
      <c r="N642" s="178"/>
      <c r="O642" s="242"/>
      <c r="P642" s="243"/>
    </row>
    <row r="643" spans="2:16" ht="12.75">
      <c r="B643" s="238"/>
      <c r="H643" s="155"/>
      <c r="I643" s="239"/>
      <c r="L643" s="240"/>
      <c r="M643" s="241"/>
      <c r="N643" s="178"/>
      <c r="O643" s="242"/>
      <c r="P643" s="243"/>
    </row>
    <row r="644" spans="2:16" ht="12.75">
      <c r="B644" s="238"/>
      <c r="H644" s="155"/>
      <c r="I644" s="239"/>
      <c r="L644" s="240"/>
      <c r="M644" s="241"/>
      <c r="N644" s="178"/>
      <c r="O644" s="242"/>
      <c r="P644" s="243"/>
    </row>
    <row r="645" spans="2:16" ht="12.75">
      <c r="B645" s="238"/>
      <c r="H645" s="155"/>
      <c r="I645" s="239"/>
      <c r="L645" s="240"/>
      <c r="M645" s="241"/>
      <c r="N645" s="178"/>
      <c r="O645" s="242"/>
      <c r="P645" s="243"/>
    </row>
    <row r="646" spans="2:16" ht="12.75">
      <c r="B646" s="238"/>
      <c r="H646" s="155"/>
      <c r="I646" s="239"/>
      <c r="L646" s="240"/>
      <c r="M646" s="241"/>
      <c r="N646" s="178"/>
      <c r="O646" s="242"/>
      <c r="P646" s="243"/>
    </row>
    <row r="647" spans="2:16" ht="12.75">
      <c r="B647" s="238"/>
      <c r="H647" s="155"/>
      <c r="I647" s="239"/>
      <c r="L647" s="240"/>
      <c r="M647" s="241"/>
      <c r="N647" s="178"/>
      <c r="O647" s="242"/>
      <c r="P647" s="243"/>
    </row>
    <row r="648" spans="2:16" ht="12.75">
      <c r="B648" s="238"/>
      <c r="H648" s="155"/>
      <c r="I648" s="239"/>
      <c r="L648" s="240"/>
      <c r="M648" s="241"/>
      <c r="N648" s="178"/>
      <c r="O648" s="242"/>
      <c r="P648" s="243"/>
    </row>
    <row r="649" spans="2:16" ht="12.75">
      <c r="B649" s="238"/>
      <c r="H649" s="155"/>
      <c r="I649" s="239"/>
      <c r="L649" s="240"/>
      <c r="M649" s="241"/>
      <c r="N649" s="178"/>
      <c r="O649" s="242"/>
      <c r="P649" s="243"/>
    </row>
    <row r="650" spans="2:16" ht="12.75">
      <c r="B650" s="238"/>
      <c r="H650" s="155"/>
      <c r="I650" s="239"/>
      <c r="L650" s="240"/>
      <c r="M650" s="241"/>
      <c r="N650" s="178"/>
      <c r="O650" s="242"/>
      <c r="P650" s="243"/>
    </row>
    <row r="651" spans="2:16" ht="12.75">
      <c r="B651" s="238"/>
      <c r="H651" s="155"/>
      <c r="I651" s="239"/>
      <c r="L651" s="240"/>
      <c r="M651" s="241"/>
      <c r="N651" s="178"/>
      <c r="O651" s="242"/>
      <c r="P651" s="243"/>
    </row>
    <row r="652" spans="2:16" ht="12.75">
      <c r="B652" s="238"/>
      <c r="H652" s="155"/>
      <c r="I652" s="239"/>
      <c r="L652" s="240"/>
      <c r="M652" s="241"/>
      <c r="N652" s="178"/>
      <c r="O652" s="242"/>
      <c r="P652" s="243"/>
    </row>
    <row r="653" spans="2:16" ht="12.75">
      <c r="B653" s="238"/>
      <c r="H653" s="155"/>
      <c r="I653" s="239"/>
      <c r="L653" s="240"/>
      <c r="M653" s="241"/>
      <c r="N653" s="178"/>
      <c r="O653" s="242"/>
      <c r="P653" s="243"/>
    </row>
    <row r="654" spans="2:16" ht="12.75">
      <c r="B654" s="238"/>
      <c r="H654" s="155"/>
      <c r="I654" s="239"/>
      <c r="L654" s="240"/>
      <c r="M654" s="241"/>
      <c r="N654" s="178"/>
      <c r="O654" s="242"/>
      <c r="P654" s="243"/>
    </row>
    <row r="655" spans="2:16" ht="12.75">
      <c r="B655" s="238"/>
      <c r="H655" s="155"/>
      <c r="I655" s="239"/>
      <c r="L655" s="240"/>
      <c r="M655" s="241"/>
      <c r="N655" s="178"/>
      <c r="O655" s="242"/>
      <c r="P655" s="243"/>
    </row>
    <row r="656" spans="2:16" ht="12.75">
      <c r="B656" s="238"/>
      <c r="H656" s="155"/>
      <c r="I656" s="239"/>
      <c r="L656" s="240"/>
      <c r="M656" s="241"/>
      <c r="N656" s="178"/>
      <c r="O656" s="242"/>
      <c r="P656" s="243"/>
    </row>
    <row r="657" spans="2:16" ht="12.75">
      <c r="B657" s="238"/>
      <c r="H657" s="155"/>
      <c r="I657" s="239"/>
      <c r="L657" s="240"/>
      <c r="M657" s="241"/>
      <c r="N657" s="178"/>
      <c r="O657" s="242"/>
      <c r="P657" s="243"/>
    </row>
    <row r="658" spans="2:16" ht="12.75">
      <c r="B658" s="238"/>
      <c r="H658" s="155"/>
      <c r="I658" s="239"/>
      <c r="L658" s="240"/>
      <c r="M658" s="241"/>
      <c r="N658" s="178"/>
      <c r="O658" s="242"/>
      <c r="P658" s="243"/>
    </row>
    <row r="659" spans="2:16" ht="12.75">
      <c r="B659" s="238"/>
      <c r="H659" s="155"/>
      <c r="I659" s="239"/>
      <c r="L659" s="240"/>
      <c r="M659" s="241"/>
      <c r="N659" s="178"/>
      <c r="O659" s="242"/>
      <c r="P659" s="243"/>
    </row>
    <row r="660" spans="2:16" ht="12.75">
      <c r="B660" s="238"/>
      <c r="H660" s="155"/>
      <c r="I660" s="239"/>
      <c r="L660" s="240"/>
      <c r="M660" s="241"/>
      <c r="N660" s="178"/>
      <c r="O660" s="242"/>
      <c r="P660" s="243"/>
    </row>
    <row r="661" spans="2:16" ht="12.75">
      <c r="B661" s="238"/>
      <c r="H661" s="155"/>
      <c r="I661" s="239"/>
      <c r="L661" s="240"/>
      <c r="M661" s="241"/>
      <c r="N661" s="178"/>
      <c r="O661" s="242"/>
      <c r="P661" s="243"/>
    </row>
    <row r="662" spans="2:16" ht="12.75">
      <c r="B662" s="238"/>
      <c r="H662" s="155"/>
      <c r="I662" s="239"/>
      <c r="L662" s="240"/>
      <c r="M662" s="241"/>
      <c r="N662" s="178"/>
      <c r="O662" s="242"/>
      <c r="P662" s="243"/>
    </row>
    <row r="663" spans="2:16" ht="12.75">
      <c r="B663" s="238"/>
      <c r="H663" s="155"/>
      <c r="I663" s="239"/>
      <c r="L663" s="240"/>
      <c r="M663" s="241"/>
      <c r="N663" s="178"/>
      <c r="O663" s="242"/>
      <c r="P663" s="243"/>
    </row>
    <row r="664" spans="2:16" ht="12.75">
      <c r="B664" s="238"/>
      <c r="H664" s="155"/>
      <c r="I664" s="239"/>
      <c r="L664" s="240"/>
      <c r="M664" s="241"/>
      <c r="N664" s="178"/>
      <c r="O664" s="242"/>
      <c r="P664" s="243"/>
    </row>
    <row r="665" spans="2:16" ht="12.75">
      <c r="B665" s="238"/>
      <c r="H665" s="155"/>
      <c r="I665" s="239"/>
      <c r="L665" s="240"/>
      <c r="M665" s="241"/>
      <c r="N665" s="178"/>
      <c r="O665" s="242"/>
      <c r="P665" s="243"/>
    </row>
    <row r="666" spans="2:16" ht="12.75">
      <c r="B666" s="238"/>
      <c r="H666" s="155"/>
      <c r="I666" s="239"/>
      <c r="L666" s="240"/>
      <c r="M666" s="241"/>
      <c r="N666" s="178"/>
      <c r="O666" s="242"/>
      <c r="P666" s="243"/>
    </row>
    <row r="667" spans="2:16" ht="12.75">
      <c r="B667" s="238"/>
      <c r="H667" s="155"/>
      <c r="I667" s="239"/>
      <c r="L667" s="240"/>
      <c r="M667" s="241"/>
      <c r="N667" s="178"/>
      <c r="O667" s="242"/>
      <c r="P667" s="243"/>
    </row>
    <row r="668" spans="2:16" ht="12.75">
      <c r="B668" s="238"/>
      <c r="H668" s="155"/>
      <c r="I668" s="239"/>
      <c r="L668" s="240"/>
      <c r="M668" s="241"/>
      <c r="N668" s="178"/>
      <c r="O668" s="242"/>
      <c r="P668" s="243"/>
    </row>
    <row r="669" spans="2:16" ht="12.75">
      <c r="B669" s="238"/>
      <c r="H669" s="155"/>
      <c r="I669" s="239"/>
      <c r="L669" s="240"/>
      <c r="M669" s="241"/>
      <c r="N669" s="178"/>
      <c r="O669" s="242"/>
      <c r="P669" s="243"/>
    </row>
    <row r="670" spans="2:16" ht="12.75">
      <c r="B670" s="238"/>
      <c r="H670" s="155"/>
      <c r="I670" s="239"/>
      <c r="L670" s="240"/>
      <c r="M670" s="241"/>
      <c r="N670" s="178"/>
      <c r="O670" s="242"/>
      <c r="P670" s="243"/>
    </row>
    <row r="671" spans="2:16" ht="12.75">
      <c r="B671" s="238"/>
      <c r="H671" s="155"/>
      <c r="I671" s="239"/>
      <c r="L671" s="240"/>
      <c r="M671" s="241"/>
      <c r="N671" s="178"/>
      <c r="O671" s="242"/>
      <c r="P671" s="243"/>
    </row>
    <row r="672" spans="2:16" ht="12.75">
      <c r="B672" s="238"/>
      <c r="H672" s="155"/>
      <c r="I672" s="239"/>
      <c r="L672" s="240"/>
      <c r="M672" s="241"/>
      <c r="N672" s="178"/>
      <c r="O672" s="242"/>
      <c r="P672" s="243"/>
    </row>
    <row r="673" spans="2:16" ht="12.75">
      <c r="B673" s="238"/>
      <c r="H673" s="155"/>
      <c r="I673" s="239"/>
      <c r="L673" s="240"/>
      <c r="M673" s="241"/>
      <c r="N673" s="178"/>
      <c r="O673" s="242"/>
      <c r="P673" s="243"/>
    </row>
    <row r="674" spans="2:16" ht="12.75">
      <c r="B674" s="238"/>
      <c r="H674" s="155"/>
      <c r="I674" s="239"/>
      <c r="L674" s="240"/>
      <c r="M674" s="241"/>
      <c r="N674" s="178"/>
      <c r="O674" s="242"/>
      <c r="P674" s="243"/>
    </row>
    <row r="675" spans="2:16" ht="12.75">
      <c r="B675" s="238"/>
      <c r="H675" s="155"/>
      <c r="I675" s="239"/>
      <c r="L675" s="240"/>
      <c r="M675" s="241"/>
      <c r="N675" s="178"/>
      <c r="O675" s="242"/>
      <c r="P675" s="243"/>
    </row>
    <row r="676" spans="2:16" ht="12.75">
      <c r="B676" s="238"/>
      <c r="H676" s="155"/>
      <c r="I676" s="239"/>
      <c r="L676" s="240"/>
      <c r="M676" s="241"/>
      <c r="N676" s="178"/>
      <c r="O676" s="242"/>
      <c r="P676" s="243"/>
    </row>
    <row r="677" spans="2:16" ht="12.75">
      <c r="B677" s="238"/>
      <c r="H677" s="155"/>
      <c r="I677" s="239"/>
      <c r="L677" s="240"/>
      <c r="M677" s="241"/>
      <c r="N677" s="178"/>
      <c r="O677" s="242"/>
      <c r="P677" s="243"/>
    </row>
    <row r="678" spans="2:16" ht="12.75">
      <c r="B678" s="238"/>
      <c r="H678" s="155"/>
      <c r="I678" s="239"/>
      <c r="L678" s="240"/>
      <c r="M678" s="241"/>
      <c r="N678" s="178"/>
      <c r="O678" s="242"/>
      <c r="P678" s="243"/>
    </row>
    <row r="679" spans="2:16" ht="12.75">
      <c r="B679" s="238"/>
      <c r="H679" s="155"/>
      <c r="I679" s="239"/>
      <c r="L679" s="240"/>
      <c r="M679" s="241"/>
      <c r="N679" s="178"/>
      <c r="O679" s="242"/>
      <c r="P679" s="243"/>
    </row>
    <row r="680" spans="2:16" ht="12.75">
      <c r="B680" s="238"/>
      <c r="H680" s="155"/>
      <c r="I680" s="239"/>
      <c r="L680" s="240"/>
      <c r="M680" s="241"/>
      <c r="N680" s="178"/>
      <c r="O680" s="242"/>
      <c r="P680" s="243"/>
    </row>
    <row r="681" spans="2:16" ht="12.75">
      <c r="B681" s="238"/>
      <c r="H681" s="155"/>
      <c r="I681" s="239"/>
      <c r="L681" s="240"/>
      <c r="M681" s="241"/>
      <c r="N681" s="178"/>
      <c r="O681" s="242"/>
      <c r="P681" s="243"/>
    </row>
    <row r="682" spans="2:16" ht="12.75">
      <c r="B682" s="238"/>
      <c r="H682" s="155"/>
      <c r="I682" s="239"/>
      <c r="L682" s="240"/>
      <c r="M682" s="241"/>
      <c r="N682" s="178"/>
      <c r="O682" s="242"/>
      <c r="P682" s="243"/>
    </row>
    <row r="683" spans="2:16" ht="12.75">
      <c r="B683" s="238"/>
      <c r="H683" s="155"/>
      <c r="I683" s="239"/>
      <c r="L683" s="240"/>
      <c r="M683" s="241"/>
      <c r="N683" s="178"/>
      <c r="O683" s="242"/>
      <c r="P683" s="243"/>
    </row>
    <row r="684" spans="2:16" ht="12.75">
      <c r="B684" s="238"/>
      <c r="H684" s="155"/>
      <c r="I684" s="239"/>
      <c r="L684" s="240"/>
      <c r="M684" s="241"/>
      <c r="N684" s="178"/>
      <c r="O684" s="242"/>
      <c r="P684" s="243"/>
    </row>
    <row r="685" spans="2:16" ht="12.75">
      <c r="B685" s="238"/>
      <c r="H685" s="155"/>
      <c r="I685" s="239"/>
      <c r="L685" s="240"/>
      <c r="M685" s="241"/>
      <c r="N685" s="178"/>
      <c r="O685" s="242"/>
      <c r="P685" s="243"/>
    </row>
    <row r="686" spans="2:16" ht="12.75">
      <c r="B686" s="238"/>
      <c r="H686" s="155"/>
      <c r="I686" s="239"/>
      <c r="L686" s="240"/>
      <c r="M686" s="241"/>
      <c r="N686" s="178"/>
      <c r="O686" s="242"/>
      <c r="P686" s="243"/>
    </row>
    <row r="687" spans="2:16" ht="12.75">
      <c r="B687" s="238"/>
      <c r="H687" s="155"/>
      <c r="I687" s="239"/>
      <c r="L687" s="240"/>
      <c r="M687" s="241"/>
      <c r="N687" s="178"/>
      <c r="O687" s="242"/>
      <c r="P687" s="243"/>
    </row>
    <row r="688" spans="2:16" ht="12.75">
      <c r="B688" s="238"/>
      <c r="H688" s="155"/>
      <c r="I688" s="239"/>
      <c r="L688" s="240"/>
      <c r="M688" s="241"/>
      <c r="N688" s="178"/>
      <c r="O688" s="242"/>
      <c r="P688" s="243"/>
    </row>
    <row r="689" spans="2:16" ht="12.75">
      <c r="B689" s="238"/>
      <c r="H689" s="155"/>
      <c r="I689" s="239"/>
      <c r="L689" s="240"/>
      <c r="M689" s="241"/>
      <c r="N689" s="178"/>
      <c r="O689" s="242"/>
      <c r="P689" s="243"/>
    </row>
    <row r="690" spans="2:16" ht="12.75">
      <c r="B690" s="238"/>
      <c r="H690" s="155"/>
      <c r="I690" s="239"/>
      <c r="L690" s="240"/>
      <c r="M690" s="241"/>
      <c r="N690" s="178"/>
      <c r="O690" s="242"/>
      <c r="P690" s="243"/>
    </row>
    <row r="691" spans="2:16" ht="12.75">
      <c r="B691" s="238"/>
      <c r="H691" s="155"/>
      <c r="I691" s="239"/>
      <c r="L691" s="240"/>
      <c r="M691" s="241"/>
      <c r="N691" s="178"/>
      <c r="O691" s="242"/>
      <c r="P691" s="243"/>
    </row>
    <row r="692" spans="2:16" ht="12.75">
      <c r="B692" s="238"/>
      <c r="H692" s="155"/>
      <c r="I692" s="239"/>
      <c r="L692" s="240"/>
      <c r="M692" s="241"/>
      <c r="N692" s="178"/>
      <c r="O692" s="242"/>
      <c r="P692" s="243"/>
    </row>
    <row r="693" spans="2:16" ht="12.75">
      <c r="B693" s="238"/>
      <c r="H693" s="155"/>
      <c r="I693" s="239"/>
      <c r="L693" s="240"/>
      <c r="M693" s="241"/>
      <c r="N693" s="178"/>
      <c r="O693" s="242"/>
      <c r="P693" s="243"/>
    </row>
    <row r="694" spans="2:16" ht="12.75">
      <c r="B694" s="238"/>
      <c r="H694" s="155"/>
      <c r="I694" s="239"/>
      <c r="L694" s="240"/>
      <c r="M694" s="241"/>
      <c r="N694" s="178"/>
      <c r="O694" s="242"/>
      <c r="P694" s="243"/>
    </row>
    <row r="695" spans="2:16" ht="12.75">
      <c r="B695" s="238"/>
      <c r="H695" s="155"/>
      <c r="I695" s="239"/>
      <c r="L695" s="240"/>
      <c r="M695" s="241"/>
      <c r="N695" s="178"/>
      <c r="O695" s="242"/>
      <c r="P695" s="243"/>
    </row>
    <row r="696" spans="2:16" ht="12.75">
      <c r="B696" s="238"/>
      <c r="H696" s="155"/>
      <c r="I696" s="239"/>
      <c r="L696" s="240"/>
      <c r="M696" s="241"/>
      <c r="N696" s="178"/>
      <c r="O696" s="242"/>
      <c r="P696" s="243"/>
    </row>
    <row r="697" spans="2:16" ht="12.75">
      <c r="B697" s="238"/>
      <c r="H697" s="155"/>
      <c r="I697" s="239"/>
      <c r="L697" s="240"/>
      <c r="M697" s="241"/>
      <c r="N697" s="178"/>
      <c r="O697" s="242"/>
      <c r="P697" s="243"/>
    </row>
    <row r="698" spans="2:16" ht="12.75">
      <c r="B698" s="238"/>
      <c r="H698" s="155"/>
      <c r="I698" s="239"/>
      <c r="L698" s="240"/>
      <c r="M698" s="241"/>
      <c r="N698" s="178"/>
      <c r="O698" s="242"/>
      <c r="P698" s="243"/>
    </row>
    <row r="699" spans="2:16" ht="12.75">
      <c r="B699" s="238"/>
      <c r="H699" s="155"/>
      <c r="I699" s="239"/>
      <c r="L699" s="240"/>
      <c r="M699" s="241"/>
      <c r="N699" s="178"/>
      <c r="O699" s="242"/>
      <c r="P699" s="243"/>
    </row>
    <row r="700" spans="2:16" ht="12.75">
      <c r="B700" s="238"/>
      <c r="H700" s="155"/>
      <c r="I700" s="239"/>
      <c r="L700" s="240"/>
      <c r="M700" s="241"/>
      <c r="N700" s="178"/>
      <c r="O700" s="242"/>
      <c r="P700" s="243"/>
    </row>
    <row r="701" spans="2:16" ht="12.75">
      <c r="B701" s="238"/>
      <c r="H701" s="155"/>
      <c r="I701" s="239"/>
      <c r="L701" s="240"/>
      <c r="M701" s="241"/>
      <c r="N701" s="178"/>
      <c r="O701" s="242"/>
      <c r="P701" s="243"/>
    </row>
    <row r="702" spans="2:16" ht="12.75">
      <c r="B702" s="238"/>
      <c r="H702" s="155"/>
      <c r="I702" s="239"/>
      <c r="L702" s="240"/>
      <c r="M702" s="241"/>
      <c r="N702" s="178"/>
      <c r="O702" s="242"/>
      <c r="P702" s="243"/>
    </row>
    <row r="703" spans="2:16" ht="12.75">
      <c r="B703" s="238"/>
      <c r="H703" s="155"/>
      <c r="I703" s="239"/>
      <c r="L703" s="240"/>
      <c r="M703" s="241"/>
      <c r="N703" s="178"/>
      <c r="O703" s="242"/>
      <c r="P703" s="243"/>
    </row>
    <row r="704" spans="2:16" ht="12.75">
      <c r="B704" s="238"/>
      <c r="H704" s="155"/>
      <c r="I704" s="239"/>
      <c r="L704" s="240"/>
      <c r="M704" s="241"/>
      <c r="N704" s="178"/>
      <c r="O704" s="242"/>
      <c r="P704" s="243"/>
    </row>
    <row r="705" spans="2:16" ht="12.75">
      <c r="B705" s="238"/>
      <c r="H705" s="155"/>
      <c r="I705" s="239"/>
      <c r="L705" s="240"/>
      <c r="M705" s="241"/>
      <c r="N705" s="178"/>
      <c r="O705" s="242"/>
      <c r="P705" s="243"/>
    </row>
    <row r="706" spans="2:16" ht="12.75">
      <c r="B706" s="238"/>
      <c r="H706" s="155"/>
      <c r="I706" s="239"/>
      <c r="L706" s="240"/>
      <c r="M706" s="241"/>
      <c r="N706" s="178"/>
      <c r="O706" s="242"/>
      <c r="P706" s="243"/>
    </row>
    <row r="707" spans="2:16" ht="12.75">
      <c r="B707" s="238"/>
      <c r="H707" s="155"/>
      <c r="I707" s="239"/>
      <c r="L707" s="240"/>
      <c r="M707" s="241"/>
      <c r="N707" s="178"/>
      <c r="O707" s="242"/>
      <c r="P707" s="243"/>
    </row>
    <row r="708" spans="2:16" ht="12.75">
      <c r="B708" s="238"/>
      <c r="H708" s="155"/>
      <c r="I708" s="239"/>
      <c r="L708" s="240"/>
      <c r="M708" s="241"/>
      <c r="N708" s="178"/>
      <c r="O708" s="242"/>
      <c r="P708" s="243"/>
    </row>
    <row r="709" spans="2:16" ht="12.75">
      <c r="B709" s="238"/>
      <c r="H709" s="155"/>
      <c r="I709" s="239"/>
      <c r="L709" s="240"/>
      <c r="M709" s="241"/>
      <c r="N709" s="178"/>
      <c r="O709" s="242"/>
      <c r="P709" s="243"/>
    </row>
    <row r="710" spans="2:16" ht="12.75">
      <c r="B710" s="238"/>
      <c r="H710" s="155"/>
      <c r="I710" s="239"/>
      <c r="L710" s="240"/>
      <c r="M710" s="241"/>
      <c r="N710" s="178"/>
      <c r="O710" s="242"/>
      <c r="P710" s="243"/>
    </row>
    <row r="711" spans="2:16" ht="12.75">
      <c r="B711" s="238"/>
      <c r="H711" s="155"/>
      <c r="I711" s="239"/>
      <c r="L711" s="240"/>
      <c r="M711" s="241"/>
      <c r="N711" s="178"/>
      <c r="O711" s="242"/>
      <c r="P711" s="243"/>
    </row>
    <row r="712" spans="2:16" ht="12.75">
      <c r="B712" s="238"/>
      <c r="H712" s="155"/>
      <c r="I712" s="239"/>
      <c r="L712" s="240"/>
      <c r="M712" s="241"/>
      <c r="N712" s="178"/>
      <c r="O712" s="242"/>
      <c r="P712" s="243"/>
    </row>
    <row r="713" spans="2:16" ht="12.75">
      <c r="B713" s="238"/>
      <c r="H713" s="155"/>
      <c r="I713" s="239"/>
      <c r="L713" s="240"/>
      <c r="M713" s="241"/>
      <c r="N713" s="178"/>
      <c r="O713" s="242"/>
      <c r="P713" s="243"/>
    </row>
    <row r="714" spans="2:16" ht="12.75">
      <c r="B714" s="238"/>
      <c r="H714" s="155"/>
      <c r="I714" s="239"/>
      <c r="L714" s="240"/>
      <c r="M714" s="241"/>
      <c r="N714" s="178"/>
      <c r="O714" s="242"/>
      <c r="P714" s="243"/>
    </row>
    <row r="715" spans="2:16" ht="12.75">
      <c r="B715" s="238"/>
      <c r="H715" s="155"/>
      <c r="I715" s="239"/>
      <c r="L715" s="240"/>
      <c r="M715" s="241"/>
      <c r="N715" s="178"/>
      <c r="O715" s="242"/>
      <c r="P715" s="243"/>
    </row>
    <row r="716" spans="2:16" ht="12.75">
      <c r="B716" s="238"/>
      <c r="H716" s="155"/>
      <c r="I716" s="239"/>
      <c r="L716" s="240"/>
      <c r="M716" s="241"/>
      <c r="N716" s="178"/>
      <c r="O716" s="242"/>
      <c r="P716" s="243"/>
    </row>
    <row r="717" spans="2:16" ht="12.75">
      <c r="B717" s="238"/>
      <c r="H717" s="155"/>
      <c r="I717" s="239"/>
      <c r="L717" s="240"/>
      <c r="M717" s="241"/>
      <c r="N717" s="178"/>
      <c r="O717" s="242"/>
      <c r="P717" s="243"/>
    </row>
    <row r="718" spans="2:16" ht="12.75">
      <c r="B718" s="238"/>
      <c r="H718" s="155"/>
      <c r="I718" s="239"/>
      <c r="L718" s="240"/>
      <c r="M718" s="241"/>
      <c r="N718" s="178"/>
      <c r="O718" s="242"/>
      <c r="P718" s="243"/>
    </row>
    <row r="719" spans="2:16" ht="12.75">
      <c r="B719" s="238"/>
      <c r="H719" s="155"/>
      <c r="I719" s="239"/>
      <c r="L719" s="240"/>
      <c r="M719" s="241"/>
      <c r="N719" s="178"/>
      <c r="O719" s="242"/>
      <c r="P719" s="243"/>
    </row>
    <row r="720" spans="2:16" ht="12.75">
      <c r="B720" s="238"/>
      <c r="H720" s="155"/>
      <c r="I720" s="239"/>
      <c r="L720" s="240"/>
      <c r="M720" s="241"/>
      <c r="N720" s="178"/>
      <c r="O720" s="242"/>
      <c r="P720" s="243"/>
    </row>
    <row r="721" spans="2:16" ht="12.75">
      <c r="B721" s="238"/>
      <c r="H721" s="155"/>
      <c r="I721" s="239"/>
      <c r="L721" s="240"/>
      <c r="M721" s="241"/>
      <c r="N721" s="178"/>
      <c r="O721" s="242"/>
      <c r="P721" s="243"/>
    </row>
    <row r="722" spans="2:16" ht="12.75">
      <c r="B722" s="238"/>
      <c r="H722" s="155"/>
      <c r="I722" s="239"/>
      <c r="L722" s="240"/>
      <c r="M722" s="241"/>
      <c r="N722" s="178"/>
      <c r="O722" s="242"/>
      <c r="P722" s="243"/>
    </row>
    <row r="723" spans="2:16" ht="12.75">
      <c r="B723" s="238"/>
      <c r="H723" s="155"/>
      <c r="I723" s="239"/>
      <c r="L723" s="240"/>
      <c r="M723" s="241"/>
      <c r="N723" s="178"/>
      <c r="O723" s="242"/>
      <c r="P723" s="243"/>
    </row>
    <row r="724" spans="2:16" ht="12.75">
      <c r="B724" s="238"/>
      <c r="H724" s="155"/>
      <c r="I724" s="239"/>
      <c r="L724" s="240"/>
      <c r="M724" s="241"/>
      <c r="N724" s="178"/>
      <c r="O724" s="242"/>
      <c r="P724" s="243"/>
    </row>
    <row r="725" spans="2:16" ht="12.75">
      <c r="B725" s="238"/>
      <c r="H725" s="155"/>
      <c r="I725" s="239"/>
      <c r="L725" s="240"/>
      <c r="M725" s="241"/>
      <c r="N725" s="178"/>
      <c r="O725" s="242"/>
      <c r="P725" s="243"/>
    </row>
    <row r="726" spans="2:16" ht="12.75">
      <c r="B726" s="238"/>
      <c r="H726" s="155"/>
      <c r="I726" s="239"/>
      <c r="L726" s="240"/>
      <c r="M726" s="241"/>
      <c r="N726" s="178"/>
      <c r="O726" s="242"/>
      <c r="P726" s="243"/>
    </row>
    <row r="727" spans="2:16" ht="12.75">
      <c r="B727" s="238"/>
      <c r="H727" s="155"/>
      <c r="I727" s="239"/>
      <c r="L727" s="240"/>
      <c r="M727" s="241"/>
      <c r="N727" s="178"/>
      <c r="O727" s="242"/>
      <c r="P727" s="243"/>
    </row>
    <row r="728" spans="2:16" ht="12.75">
      <c r="B728" s="238"/>
      <c r="H728" s="155"/>
      <c r="I728" s="239"/>
      <c r="L728" s="240"/>
      <c r="M728" s="241"/>
      <c r="N728" s="178"/>
      <c r="O728" s="242"/>
      <c r="P728" s="243"/>
    </row>
    <row r="729" spans="2:16" ht="12.75">
      <c r="B729" s="238"/>
      <c r="H729" s="155"/>
      <c r="I729" s="239"/>
      <c r="L729" s="240"/>
      <c r="M729" s="241"/>
      <c r="N729" s="178"/>
      <c r="O729" s="242"/>
      <c r="P729" s="243"/>
    </row>
    <row r="730" spans="2:16" ht="12.75">
      <c r="B730" s="238"/>
      <c r="H730" s="155"/>
      <c r="I730" s="239"/>
      <c r="L730" s="240"/>
      <c r="M730" s="241"/>
      <c r="N730" s="178"/>
      <c r="O730" s="242"/>
      <c r="P730" s="243"/>
    </row>
    <row r="731" spans="2:16" ht="12.75">
      <c r="B731" s="238"/>
      <c r="H731" s="155"/>
      <c r="I731" s="239"/>
      <c r="L731" s="240"/>
      <c r="M731" s="241"/>
      <c r="N731" s="178"/>
      <c r="O731" s="242"/>
      <c r="P731" s="243"/>
    </row>
    <row r="732" spans="2:16" ht="12.75">
      <c r="B732" s="238"/>
      <c r="H732" s="155"/>
      <c r="I732" s="239"/>
      <c r="L732" s="240"/>
      <c r="M732" s="241"/>
      <c r="N732" s="178"/>
      <c r="O732" s="242"/>
      <c r="P732" s="243"/>
    </row>
    <row r="733" spans="2:16" ht="12.75">
      <c r="B733" s="238"/>
      <c r="H733" s="155"/>
      <c r="I733" s="239"/>
      <c r="L733" s="240"/>
      <c r="M733" s="241"/>
      <c r="N733" s="178"/>
      <c r="O733" s="242"/>
      <c r="P733" s="243"/>
    </row>
    <row r="734" spans="2:16" ht="12.75">
      <c r="B734" s="238"/>
      <c r="H734" s="155"/>
      <c r="I734" s="239"/>
      <c r="L734" s="240"/>
      <c r="M734" s="241"/>
      <c r="N734" s="178"/>
      <c r="O734" s="242"/>
      <c r="P734" s="243"/>
    </row>
    <row r="735" spans="2:16" ht="12.75">
      <c r="B735" s="238"/>
      <c r="H735" s="155"/>
      <c r="I735" s="239"/>
      <c r="L735" s="240"/>
      <c r="M735" s="241"/>
      <c r="N735" s="178"/>
      <c r="O735" s="242"/>
      <c r="P735" s="243"/>
    </row>
    <row r="736" spans="2:16" ht="12.75">
      <c r="B736" s="238"/>
      <c r="H736" s="155"/>
      <c r="I736" s="239"/>
      <c r="L736" s="240"/>
      <c r="M736" s="241"/>
      <c r="N736" s="178"/>
      <c r="O736" s="242"/>
      <c r="P736" s="243"/>
    </row>
    <row r="737" spans="2:16" ht="12.75">
      <c r="B737" s="238"/>
      <c r="H737" s="155"/>
      <c r="I737" s="239"/>
      <c r="L737" s="240"/>
      <c r="M737" s="241"/>
      <c r="N737" s="178"/>
      <c r="O737" s="242"/>
      <c r="P737" s="243"/>
    </row>
    <row r="738" spans="2:16" ht="12.75">
      <c r="B738" s="238"/>
      <c r="H738" s="155"/>
      <c r="I738" s="239"/>
      <c r="L738" s="240"/>
      <c r="M738" s="241"/>
      <c r="N738" s="178"/>
      <c r="O738" s="242"/>
      <c r="P738" s="243"/>
    </row>
    <row r="739" spans="2:16" ht="12.75">
      <c r="B739" s="238"/>
      <c r="H739" s="155"/>
      <c r="I739" s="239"/>
      <c r="L739" s="240"/>
      <c r="M739" s="241"/>
      <c r="N739" s="178"/>
      <c r="O739" s="242"/>
      <c r="P739" s="243"/>
    </row>
    <row r="740" spans="2:16" ht="12.75">
      <c r="B740" s="238"/>
      <c r="H740" s="155"/>
      <c r="I740" s="239"/>
      <c r="L740" s="240"/>
      <c r="M740" s="241"/>
      <c r="N740" s="178"/>
      <c r="O740" s="242"/>
      <c r="P740" s="243"/>
    </row>
    <row r="741" spans="2:16" ht="12.75">
      <c r="B741" s="238"/>
      <c r="H741" s="155"/>
      <c r="I741" s="239"/>
      <c r="L741" s="240"/>
      <c r="M741" s="241"/>
      <c r="N741" s="178"/>
      <c r="O741" s="242"/>
      <c r="P741" s="243"/>
    </row>
    <row r="742" spans="2:16" ht="12.75">
      <c r="B742" s="238"/>
      <c r="H742" s="155"/>
      <c r="I742" s="239"/>
      <c r="L742" s="240"/>
      <c r="M742" s="241"/>
      <c r="N742" s="178"/>
      <c r="O742" s="242"/>
      <c r="P742" s="243"/>
    </row>
    <row r="743" spans="2:16" ht="12.75">
      <c r="B743" s="238"/>
      <c r="H743" s="155"/>
      <c r="I743" s="239"/>
      <c r="L743" s="240"/>
      <c r="M743" s="241"/>
      <c r="N743" s="178"/>
      <c r="O743" s="242"/>
      <c r="P743" s="243"/>
    </row>
    <row r="744" spans="2:16" ht="12.75">
      <c r="B744" s="238"/>
      <c r="H744" s="155"/>
      <c r="I744" s="239"/>
      <c r="L744" s="240"/>
      <c r="M744" s="241"/>
      <c r="N744" s="178"/>
      <c r="O744" s="242"/>
      <c r="P744" s="243"/>
    </row>
    <row r="745" spans="2:16" ht="12.75">
      <c r="B745" s="238"/>
      <c r="H745" s="155"/>
      <c r="I745" s="239"/>
      <c r="L745" s="240"/>
      <c r="M745" s="241"/>
      <c r="N745" s="178"/>
      <c r="O745" s="242"/>
      <c r="P745" s="243"/>
    </row>
    <row r="746" spans="2:16" ht="12.75">
      <c r="B746" s="238"/>
      <c r="H746" s="155"/>
      <c r="I746" s="239"/>
      <c r="L746" s="240"/>
      <c r="M746" s="241"/>
      <c r="N746" s="178"/>
      <c r="O746" s="242"/>
      <c r="P746" s="243"/>
    </row>
    <row r="747" spans="2:16" ht="12.75">
      <c r="B747" s="238"/>
      <c r="H747" s="155"/>
      <c r="I747" s="239"/>
      <c r="L747" s="240"/>
      <c r="M747" s="241"/>
      <c r="N747" s="178"/>
      <c r="O747" s="242"/>
      <c r="P747" s="243"/>
    </row>
    <row r="748" spans="2:16" ht="12.75">
      <c r="B748" s="238"/>
      <c r="H748" s="155"/>
      <c r="I748" s="239"/>
      <c r="L748" s="240"/>
      <c r="M748" s="241"/>
      <c r="N748" s="178"/>
      <c r="O748" s="242"/>
      <c r="P748" s="243"/>
    </row>
    <row r="749" spans="2:16" ht="12.75">
      <c r="B749" s="238"/>
      <c r="H749" s="155"/>
      <c r="I749" s="239"/>
      <c r="L749" s="240"/>
      <c r="M749" s="241"/>
      <c r="N749" s="178"/>
      <c r="O749" s="242"/>
      <c r="P749" s="243"/>
    </row>
    <row r="750" spans="2:16" ht="12.75">
      <c r="B750" s="238"/>
      <c r="H750" s="155"/>
      <c r="I750" s="239"/>
      <c r="L750" s="240"/>
      <c r="M750" s="241"/>
      <c r="N750" s="178"/>
      <c r="O750" s="242"/>
      <c r="P750" s="243"/>
    </row>
    <row r="751" spans="2:16" ht="12.75">
      <c r="B751" s="238"/>
      <c r="H751" s="155"/>
      <c r="I751" s="239"/>
      <c r="L751" s="240"/>
      <c r="M751" s="241"/>
      <c r="N751" s="178"/>
      <c r="O751" s="242"/>
      <c r="P751" s="243"/>
    </row>
    <row r="752" spans="2:16" ht="12.75">
      <c r="B752" s="238"/>
      <c r="H752" s="155"/>
      <c r="I752" s="239"/>
      <c r="L752" s="240"/>
      <c r="M752" s="241"/>
      <c r="N752" s="178"/>
      <c r="O752" s="242"/>
      <c r="P752" s="243"/>
    </row>
    <row r="753" spans="2:16" ht="12.75">
      <c r="B753" s="238"/>
      <c r="H753" s="155"/>
      <c r="I753" s="239"/>
      <c r="L753" s="240"/>
      <c r="M753" s="241"/>
      <c r="N753" s="178"/>
      <c r="O753" s="242"/>
      <c r="P753" s="243"/>
    </row>
    <row r="754" spans="2:16" ht="12.75">
      <c r="B754" s="238"/>
      <c r="H754" s="155"/>
      <c r="I754" s="239"/>
      <c r="L754" s="240"/>
      <c r="M754" s="241"/>
      <c r="N754" s="178"/>
      <c r="O754" s="242"/>
      <c r="P754" s="243"/>
    </row>
    <row r="755" spans="2:16" ht="12.75">
      <c r="B755" s="238"/>
      <c r="H755" s="155"/>
      <c r="I755" s="239"/>
      <c r="L755" s="240"/>
      <c r="M755" s="241"/>
      <c r="N755" s="178"/>
      <c r="O755" s="242"/>
      <c r="P755" s="243"/>
    </row>
    <row r="756" spans="2:16" ht="12.75">
      <c r="B756" s="238"/>
      <c r="H756" s="155"/>
      <c r="I756" s="239"/>
      <c r="L756" s="240"/>
      <c r="M756" s="241"/>
      <c r="N756" s="178"/>
      <c r="O756" s="242"/>
      <c r="P756" s="243"/>
    </row>
    <row r="757" spans="2:16" ht="12.75">
      <c r="B757" s="238"/>
      <c r="H757" s="155"/>
      <c r="I757" s="239"/>
      <c r="L757" s="240"/>
      <c r="M757" s="241"/>
      <c r="N757" s="178"/>
      <c r="O757" s="242"/>
      <c r="P757" s="243"/>
    </row>
    <row r="758" spans="2:16" ht="12.75">
      <c r="B758" s="238"/>
      <c r="H758" s="155"/>
      <c r="I758" s="239"/>
      <c r="L758" s="240"/>
      <c r="M758" s="241"/>
      <c r="N758" s="178"/>
      <c r="O758" s="242"/>
      <c r="P758" s="243"/>
    </row>
    <row r="759" spans="2:16" ht="12.75">
      <c r="B759" s="238"/>
      <c r="H759" s="155"/>
      <c r="I759" s="239"/>
      <c r="L759" s="240"/>
      <c r="M759" s="241"/>
      <c r="N759" s="178"/>
      <c r="O759" s="242"/>
      <c r="P759" s="243"/>
    </row>
    <row r="760" spans="2:16" ht="12.75">
      <c r="B760" s="238"/>
      <c r="H760" s="155"/>
      <c r="I760" s="239"/>
      <c r="L760" s="240"/>
      <c r="M760" s="241"/>
      <c r="N760" s="178"/>
      <c r="O760" s="242"/>
      <c r="P760" s="243"/>
    </row>
    <row r="761" spans="2:16" ht="12.75">
      <c r="B761" s="238"/>
      <c r="H761" s="155"/>
      <c r="I761" s="239"/>
      <c r="L761" s="240"/>
      <c r="M761" s="241"/>
      <c r="N761" s="178"/>
      <c r="O761" s="242"/>
      <c r="P761" s="243"/>
    </row>
    <row r="762" spans="2:16" ht="12.75">
      <c r="B762" s="238"/>
      <c r="H762" s="155"/>
      <c r="I762" s="239"/>
      <c r="L762" s="240"/>
      <c r="M762" s="241"/>
      <c r="N762" s="178"/>
      <c r="O762" s="242"/>
      <c r="P762" s="243"/>
    </row>
    <row r="763" spans="2:16" ht="12.75">
      <c r="B763" s="238"/>
      <c r="H763" s="155"/>
      <c r="I763" s="239"/>
      <c r="L763" s="240"/>
      <c r="M763" s="241"/>
      <c r="N763" s="178"/>
      <c r="O763" s="242"/>
      <c r="P763" s="243"/>
    </row>
    <row r="764" spans="2:16" ht="12.75">
      <c r="B764" s="238"/>
      <c r="H764" s="155"/>
      <c r="I764" s="239"/>
      <c r="L764" s="240"/>
      <c r="M764" s="241"/>
      <c r="N764" s="178"/>
      <c r="O764" s="242"/>
      <c r="P764" s="243"/>
    </row>
    <row r="765" spans="2:16" ht="12.75">
      <c r="B765" s="238"/>
      <c r="H765" s="155"/>
      <c r="I765" s="239"/>
      <c r="L765" s="240"/>
      <c r="M765" s="241"/>
      <c r="N765" s="178"/>
      <c r="O765" s="242"/>
      <c r="P765" s="243"/>
    </row>
    <row r="766" spans="2:16" ht="12.75">
      <c r="B766" s="238"/>
      <c r="H766" s="155"/>
      <c r="I766" s="239"/>
      <c r="L766" s="240"/>
      <c r="M766" s="241"/>
      <c r="N766" s="178"/>
      <c r="O766" s="242"/>
      <c r="P766" s="243"/>
    </row>
    <row r="767" spans="2:16" ht="12.75">
      <c r="B767" s="238"/>
      <c r="H767" s="155"/>
      <c r="I767" s="239"/>
      <c r="L767" s="240"/>
      <c r="M767" s="241"/>
      <c r="N767" s="178"/>
      <c r="O767" s="242"/>
      <c r="P767" s="243"/>
    </row>
    <row r="768" spans="2:16" ht="12.75">
      <c r="B768" s="238"/>
      <c r="H768" s="155"/>
      <c r="I768" s="239"/>
      <c r="L768" s="240"/>
      <c r="M768" s="241"/>
      <c r="N768" s="178"/>
      <c r="O768" s="242"/>
      <c r="P768" s="243"/>
    </row>
    <row r="769" spans="2:16" ht="12.75">
      <c r="B769" s="238"/>
      <c r="H769" s="155"/>
      <c r="I769" s="239"/>
      <c r="L769" s="240"/>
      <c r="M769" s="241"/>
      <c r="N769" s="178"/>
      <c r="O769" s="242"/>
      <c r="P769" s="243"/>
    </row>
    <row r="770" spans="2:16" ht="12.75">
      <c r="B770" s="238"/>
      <c r="H770" s="155"/>
      <c r="I770" s="239"/>
      <c r="L770" s="240"/>
      <c r="M770" s="241"/>
      <c r="N770" s="178"/>
      <c r="O770" s="242"/>
      <c r="P770" s="243"/>
    </row>
    <row r="771" spans="2:16" ht="12.75">
      <c r="B771" s="238"/>
      <c r="H771" s="155"/>
      <c r="I771" s="239"/>
      <c r="L771" s="240"/>
      <c r="M771" s="241"/>
      <c r="N771" s="178"/>
      <c r="O771" s="242"/>
      <c r="P771" s="243"/>
    </row>
    <row r="772" spans="2:16" ht="12.75">
      <c r="B772" s="238"/>
      <c r="H772" s="155"/>
      <c r="I772" s="239"/>
      <c r="L772" s="240"/>
      <c r="M772" s="241"/>
      <c r="N772" s="178"/>
      <c r="O772" s="242"/>
      <c r="P772" s="243"/>
    </row>
    <row r="773" spans="2:16" ht="12.75">
      <c r="B773" s="238"/>
      <c r="H773" s="155"/>
      <c r="I773" s="239"/>
      <c r="L773" s="240"/>
      <c r="M773" s="241"/>
      <c r="N773" s="178"/>
      <c r="O773" s="242"/>
      <c r="P773" s="243"/>
    </row>
    <row r="774" spans="2:16" ht="12.75">
      <c r="B774" s="238"/>
      <c r="H774" s="155"/>
      <c r="I774" s="239"/>
      <c r="L774" s="240"/>
      <c r="M774" s="241"/>
      <c r="N774" s="178"/>
      <c r="O774" s="242"/>
      <c r="P774" s="243"/>
    </row>
    <row r="775" spans="2:16" ht="12.75">
      <c r="B775" s="238"/>
      <c r="H775" s="155"/>
      <c r="I775" s="239"/>
      <c r="L775" s="240"/>
      <c r="M775" s="241"/>
      <c r="N775" s="178"/>
      <c r="O775" s="242"/>
      <c r="P775" s="243"/>
    </row>
    <row r="776" spans="2:16" ht="12.75">
      <c r="B776" s="238"/>
      <c r="H776" s="155"/>
      <c r="I776" s="239"/>
      <c r="L776" s="240"/>
      <c r="M776" s="241"/>
      <c r="N776" s="178"/>
      <c r="O776" s="242"/>
      <c r="P776" s="243"/>
    </row>
    <row r="777" spans="2:16" ht="12.75">
      <c r="B777" s="238"/>
      <c r="H777" s="155"/>
      <c r="I777" s="239"/>
      <c r="L777" s="240"/>
      <c r="M777" s="241"/>
      <c r="N777" s="178"/>
      <c r="O777" s="242"/>
      <c r="P777" s="243"/>
    </row>
    <row r="778" spans="2:16" ht="12.75">
      <c r="B778" s="238"/>
      <c r="H778" s="155"/>
      <c r="I778" s="239"/>
      <c r="L778" s="240"/>
      <c r="M778" s="241"/>
      <c r="N778" s="178"/>
      <c r="O778" s="242"/>
      <c r="P778" s="243"/>
    </row>
    <row r="779" spans="2:16" ht="12.75">
      <c r="B779" s="238"/>
      <c r="H779" s="155"/>
      <c r="I779" s="239"/>
      <c r="L779" s="240"/>
      <c r="M779" s="241"/>
      <c r="N779" s="178"/>
      <c r="O779" s="242"/>
      <c r="P779" s="243"/>
    </row>
    <row r="780" spans="2:16" ht="12.75">
      <c r="B780" s="238"/>
      <c r="H780" s="155"/>
      <c r="I780" s="239"/>
      <c r="L780" s="240"/>
      <c r="M780" s="241"/>
      <c r="N780" s="178"/>
      <c r="O780" s="242"/>
      <c r="P780" s="243"/>
    </row>
    <row r="781" spans="2:16" ht="12.75">
      <c r="B781" s="238"/>
      <c r="H781" s="155"/>
      <c r="I781" s="239"/>
      <c r="L781" s="240"/>
      <c r="M781" s="241"/>
      <c r="N781" s="178"/>
      <c r="O781" s="242"/>
      <c r="P781" s="243"/>
    </row>
    <row r="782" spans="2:16" ht="12.75">
      <c r="B782" s="238"/>
      <c r="H782" s="155"/>
      <c r="I782" s="239"/>
      <c r="L782" s="240"/>
      <c r="M782" s="241"/>
      <c r="N782" s="178"/>
      <c r="O782" s="242"/>
      <c r="P782" s="243"/>
    </row>
    <row r="783" spans="2:16" ht="12.75">
      <c r="B783" s="238"/>
      <c r="H783" s="155"/>
      <c r="I783" s="239"/>
      <c r="L783" s="240"/>
      <c r="M783" s="241"/>
      <c r="N783" s="178"/>
      <c r="O783" s="242"/>
      <c r="P783" s="243"/>
    </row>
    <row r="784" spans="2:16" ht="12.75">
      <c r="B784" s="238"/>
      <c r="H784" s="155"/>
      <c r="I784" s="239"/>
      <c r="L784" s="240"/>
      <c r="M784" s="241"/>
      <c r="N784" s="178"/>
      <c r="O784" s="242"/>
      <c r="P784" s="243"/>
    </row>
    <row r="785" spans="2:16" ht="12.75">
      <c r="B785" s="238"/>
      <c r="H785" s="155"/>
      <c r="I785" s="239"/>
      <c r="L785" s="240"/>
      <c r="M785" s="241"/>
      <c r="N785" s="178"/>
      <c r="O785" s="242"/>
      <c r="P785" s="243"/>
    </row>
    <row r="786" spans="2:16" ht="12.75">
      <c r="B786" s="238"/>
      <c r="H786" s="155"/>
      <c r="I786" s="239"/>
      <c r="L786" s="240"/>
      <c r="M786" s="241"/>
      <c r="N786" s="178"/>
      <c r="O786" s="242"/>
      <c r="P786" s="243"/>
    </row>
    <row r="787" spans="2:16" ht="12.75">
      <c r="B787" s="238"/>
      <c r="H787" s="155"/>
      <c r="I787" s="239"/>
      <c r="L787" s="240"/>
      <c r="M787" s="241"/>
      <c r="N787" s="178"/>
      <c r="O787" s="242"/>
      <c r="P787" s="243"/>
    </row>
    <row r="788" spans="2:16" ht="12.75">
      <c r="B788" s="238"/>
      <c r="H788" s="155"/>
      <c r="I788" s="239"/>
      <c r="L788" s="240"/>
      <c r="M788" s="241"/>
      <c r="N788" s="178"/>
      <c r="O788" s="242"/>
      <c r="P788" s="243"/>
    </row>
    <row r="789" spans="2:16" ht="12.75">
      <c r="B789" s="238"/>
      <c r="H789" s="155"/>
      <c r="I789" s="239"/>
      <c r="L789" s="240"/>
      <c r="M789" s="241"/>
      <c r="N789" s="178"/>
      <c r="O789" s="242"/>
      <c r="P789" s="243"/>
    </row>
    <row r="790" spans="2:16" ht="12.75">
      <c r="B790" s="238"/>
      <c r="H790" s="155"/>
      <c r="I790" s="239"/>
      <c r="L790" s="240"/>
      <c r="M790" s="241"/>
      <c r="N790" s="178"/>
      <c r="O790" s="242"/>
      <c r="P790" s="243"/>
    </row>
    <row r="791" spans="2:16" ht="12.75">
      <c r="B791" s="238"/>
      <c r="H791" s="155"/>
      <c r="I791" s="239"/>
      <c r="L791" s="240"/>
      <c r="M791" s="241"/>
      <c r="N791" s="178"/>
      <c r="O791" s="242"/>
      <c r="P791" s="243"/>
    </row>
    <row r="792" spans="2:16" ht="12.75">
      <c r="B792" s="238"/>
      <c r="H792" s="155"/>
      <c r="I792" s="239"/>
      <c r="L792" s="240"/>
      <c r="M792" s="241"/>
      <c r="N792" s="178"/>
      <c r="O792" s="242"/>
      <c r="P792" s="243"/>
    </row>
    <row r="793" spans="2:16" ht="12.75">
      <c r="B793" s="238"/>
      <c r="H793" s="155"/>
      <c r="I793" s="239"/>
      <c r="L793" s="240"/>
      <c r="M793" s="241"/>
      <c r="N793" s="178"/>
      <c r="O793" s="242"/>
      <c r="P793" s="243"/>
    </row>
    <row r="794" spans="2:16" ht="12.75">
      <c r="B794" s="238"/>
      <c r="H794" s="155"/>
      <c r="I794" s="239"/>
      <c r="L794" s="240"/>
      <c r="M794" s="241"/>
      <c r="N794" s="178"/>
      <c r="O794" s="242"/>
      <c r="P794" s="243"/>
    </row>
    <row r="795" spans="2:16" ht="12.75">
      <c r="B795" s="238"/>
      <c r="H795" s="155"/>
      <c r="I795" s="239"/>
      <c r="L795" s="240"/>
      <c r="M795" s="241"/>
      <c r="N795" s="178"/>
      <c r="O795" s="242"/>
      <c r="P795" s="243"/>
    </row>
    <row r="796" spans="2:16" ht="12.75">
      <c r="B796" s="238"/>
      <c r="H796" s="155"/>
      <c r="I796" s="239"/>
      <c r="L796" s="240"/>
      <c r="M796" s="241"/>
      <c r="N796" s="178"/>
      <c r="O796" s="242"/>
      <c r="P796" s="243"/>
    </row>
    <row r="797" spans="2:16" ht="12.75">
      <c r="B797" s="238"/>
      <c r="H797" s="155"/>
      <c r="I797" s="239"/>
      <c r="L797" s="240"/>
      <c r="M797" s="241"/>
      <c r="N797" s="178"/>
      <c r="O797" s="242"/>
      <c r="P797" s="243"/>
    </row>
    <row r="798" spans="2:16" ht="12.75">
      <c r="B798" s="238"/>
      <c r="H798" s="155"/>
      <c r="I798" s="239"/>
      <c r="L798" s="240"/>
      <c r="M798" s="241"/>
      <c r="N798" s="178"/>
      <c r="O798" s="242"/>
      <c r="P798" s="243"/>
    </row>
    <row r="799" spans="2:16" ht="12.75">
      <c r="B799" s="238"/>
      <c r="H799" s="155"/>
      <c r="I799" s="239"/>
      <c r="L799" s="240"/>
      <c r="M799" s="241"/>
      <c r="N799" s="178"/>
      <c r="O799" s="242"/>
      <c r="P799" s="243"/>
    </row>
    <row r="800" spans="2:16" ht="12.75">
      <c r="B800" s="238"/>
      <c r="H800" s="155"/>
      <c r="I800" s="239"/>
      <c r="L800" s="240"/>
      <c r="M800" s="241"/>
      <c r="N800" s="178"/>
      <c r="O800" s="242"/>
      <c r="P800" s="243"/>
    </row>
    <row r="801" spans="2:16" ht="12.75">
      <c r="B801" s="238"/>
      <c r="H801" s="155"/>
      <c r="I801" s="239"/>
      <c r="L801" s="240"/>
      <c r="M801" s="241"/>
      <c r="N801" s="178"/>
      <c r="O801" s="242"/>
      <c r="P801" s="243"/>
    </row>
    <row r="802" spans="2:16" ht="12.75">
      <c r="B802" s="238"/>
      <c r="H802" s="155"/>
      <c r="I802" s="239"/>
      <c r="L802" s="240"/>
      <c r="M802" s="241"/>
      <c r="N802" s="178"/>
      <c r="O802" s="242"/>
      <c r="P802" s="243"/>
    </row>
    <row r="803" spans="2:16" ht="12.75">
      <c r="B803" s="238"/>
      <c r="H803" s="155"/>
      <c r="I803" s="239"/>
      <c r="L803" s="240"/>
      <c r="M803" s="241"/>
      <c r="N803" s="178"/>
      <c r="O803" s="242"/>
      <c r="P803" s="243"/>
    </row>
    <row r="804" spans="2:16" ht="12.75">
      <c r="B804" s="238"/>
      <c r="H804" s="155"/>
      <c r="I804" s="239"/>
      <c r="L804" s="240"/>
      <c r="M804" s="241"/>
      <c r="N804" s="178"/>
      <c r="O804" s="242"/>
      <c r="P804" s="243"/>
    </row>
    <row r="805" spans="2:16" ht="12.75">
      <c r="B805" s="238"/>
      <c r="H805" s="155"/>
      <c r="I805" s="239"/>
      <c r="L805" s="240"/>
      <c r="M805" s="241"/>
      <c r="N805" s="178"/>
      <c r="O805" s="242"/>
      <c r="P805" s="243"/>
    </row>
    <row r="806" spans="2:16" ht="12.75">
      <c r="B806" s="238"/>
      <c r="H806" s="155"/>
      <c r="I806" s="239"/>
      <c r="L806" s="240"/>
      <c r="M806" s="241"/>
      <c r="N806" s="178"/>
      <c r="O806" s="242"/>
      <c r="P806" s="243"/>
    </row>
    <row r="807" spans="2:16" ht="12.75">
      <c r="B807" s="238"/>
      <c r="H807" s="155"/>
      <c r="I807" s="239"/>
      <c r="L807" s="240"/>
      <c r="M807" s="241"/>
      <c r="N807" s="178"/>
      <c r="O807" s="242"/>
      <c r="P807" s="243"/>
    </row>
    <row r="808" spans="2:16" ht="12.75">
      <c r="B808" s="238"/>
      <c r="H808" s="155"/>
      <c r="I808" s="239"/>
      <c r="L808" s="240"/>
      <c r="M808" s="241"/>
      <c r="N808" s="178"/>
      <c r="O808" s="242"/>
      <c r="P808" s="243"/>
    </row>
    <row r="809" spans="2:16" ht="12.75">
      <c r="B809" s="238"/>
      <c r="H809" s="155"/>
      <c r="I809" s="239"/>
      <c r="L809" s="240"/>
      <c r="M809" s="241"/>
      <c r="N809" s="178"/>
      <c r="O809" s="242"/>
      <c r="P809" s="243"/>
    </row>
    <row r="810" spans="2:16" ht="12.75">
      <c r="B810" s="238"/>
      <c r="H810" s="155"/>
      <c r="I810" s="239"/>
      <c r="L810" s="240"/>
      <c r="M810" s="241"/>
      <c r="N810" s="178"/>
      <c r="O810" s="242"/>
      <c r="P810" s="243"/>
    </row>
    <row r="811" spans="2:16" ht="12.75">
      <c r="B811" s="238"/>
      <c r="H811" s="155"/>
      <c r="I811" s="239"/>
      <c r="L811" s="240"/>
      <c r="M811" s="241"/>
      <c r="N811" s="178"/>
      <c r="O811" s="242"/>
      <c r="P811" s="243"/>
    </row>
    <row r="812" spans="2:16" ht="12.75">
      <c r="B812" s="238"/>
      <c r="H812" s="155"/>
      <c r="I812" s="239"/>
      <c r="L812" s="240"/>
      <c r="M812" s="241"/>
      <c r="N812" s="178"/>
      <c r="O812" s="242"/>
      <c r="P812" s="243"/>
    </row>
    <row r="813" spans="2:16" ht="12.75">
      <c r="B813" s="238"/>
      <c r="H813" s="155"/>
      <c r="I813" s="239"/>
      <c r="L813" s="240"/>
      <c r="M813" s="241"/>
      <c r="N813" s="178"/>
      <c r="O813" s="242"/>
      <c r="P813" s="243"/>
    </row>
    <row r="814" spans="2:16" ht="12.75">
      <c r="B814" s="238"/>
      <c r="H814" s="155"/>
      <c r="I814" s="239"/>
      <c r="L814" s="240"/>
      <c r="M814" s="241"/>
      <c r="N814" s="178"/>
      <c r="O814" s="242"/>
      <c r="P814" s="243"/>
    </row>
    <row r="815" spans="2:16" ht="12.75">
      <c r="B815" s="238"/>
      <c r="H815" s="155"/>
      <c r="I815" s="239"/>
      <c r="L815" s="240"/>
      <c r="M815" s="241"/>
      <c r="N815" s="178"/>
      <c r="O815" s="242"/>
      <c r="P815" s="243"/>
    </row>
    <row r="816" spans="2:16" ht="12.75">
      <c r="B816" s="238"/>
      <c r="H816" s="155"/>
      <c r="I816" s="239"/>
      <c r="L816" s="240"/>
      <c r="M816" s="241"/>
      <c r="N816" s="178"/>
      <c r="O816" s="242"/>
      <c r="P816" s="243"/>
    </row>
    <row r="817" spans="2:16" ht="12.75">
      <c r="B817" s="238"/>
      <c r="H817" s="155"/>
      <c r="I817" s="239"/>
      <c r="L817" s="240"/>
      <c r="M817" s="241"/>
      <c r="N817" s="178"/>
      <c r="O817" s="242"/>
      <c r="P817" s="243"/>
    </row>
    <row r="818" spans="2:16" ht="12.75">
      <c r="B818" s="238"/>
      <c r="H818" s="155"/>
      <c r="I818" s="239"/>
      <c r="L818" s="240"/>
      <c r="M818" s="241"/>
      <c r="N818" s="178"/>
      <c r="O818" s="242"/>
      <c r="P818" s="243"/>
    </row>
    <row r="819" spans="2:16" ht="12.75">
      <c r="B819" s="238"/>
      <c r="H819" s="155"/>
      <c r="I819" s="239"/>
      <c r="L819" s="240"/>
      <c r="M819" s="241"/>
      <c r="N819" s="178"/>
      <c r="O819" s="242"/>
      <c r="P819" s="243"/>
    </row>
    <row r="820" spans="2:16" ht="12.75">
      <c r="B820" s="238"/>
      <c r="H820" s="155"/>
      <c r="I820" s="239"/>
      <c r="L820" s="240"/>
      <c r="M820" s="241"/>
      <c r="N820" s="178"/>
      <c r="O820" s="242"/>
      <c r="P820" s="243"/>
    </row>
    <row r="821" spans="2:16" ht="12.75">
      <c r="B821" s="238"/>
      <c r="H821" s="155"/>
      <c r="I821" s="239"/>
      <c r="L821" s="240"/>
      <c r="M821" s="241"/>
      <c r="N821" s="178"/>
      <c r="O821" s="242"/>
      <c r="P821" s="243"/>
    </row>
    <row r="822" spans="2:16" ht="12.75">
      <c r="B822" s="238"/>
      <c r="H822" s="155"/>
      <c r="I822" s="239"/>
      <c r="L822" s="240"/>
      <c r="M822" s="241"/>
      <c r="N822" s="178"/>
      <c r="O822" s="242"/>
      <c r="P822" s="243"/>
    </row>
    <row r="823" spans="2:16" ht="12.75">
      <c r="B823" s="238"/>
      <c r="H823" s="155"/>
      <c r="I823" s="239"/>
      <c r="L823" s="240"/>
      <c r="M823" s="241"/>
      <c r="N823" s="178"/>
      <c r="O823" s="242"/>
      <c r="P823" s="243"/>
    </row>
    <row r="824" spans="2:16" ht="12.75">
      <c r="B824" s="238"/>
      <c r="H824" s="155"/>
      <c r="I824" s="239"/>
      <c r="L824" s="240"/>
      <c r="M824" s="241"/>
      <c r="N824" s="178"/>
      <c r="O824" s="242"/>
      <c r="P824" s="243"/>
    </row>
    <row r="825" spans="2:16" ht="12.75">
      <c r="B825" s="238"/>
      <c r="H825" s="155"/>
      <c r="I825" s="239"/>
      <c r="L825" s="240"/>
      <c r="M825" s="241"/>
      <c r="N825" s="178"/>
      <c r="O825" s="242"/>
      <c r="P825" s="243"/>
    </row>
    <row r="826" spans="2:16" ht="12.75">
      <c r="B826" s="238"/>
      <c r="H826" s="155"/>
      <c r="I826" s="239"/>
      <c r="L826" s="240"/>
      <c r="M826" s="241"/>
      <c r="N826" s="178"/>
      <c r="O826" s="242"/>
      <c r="P826" s="243"/>
    </row>
    <row r="827" spans="2:16" ht="12.75">
      <c r="B827" s="238"/>
      <c r="H827" s="155"/>
      <c r="I827" s="239"/>
      <c r="L827" s="240"/>
      <c r="M827" s="241"/>
      <c r="N827" s="178"/>
      <c r="O827" s="242"/>
      <c r="P827" s="243"/>
    </row>
    <row r="828" spans="2:16" ht="12.75">
      <c r="B828" s="238"/>
      <c r="H828" s="155"/>
      <c r="I828" s="239"/>
      <c r="L828" s="240"/>
      <c r="M828" s="241"/>
      <c r="N828" s="178"/>
      <c r="O828" s="242"/>
      <c r="P828" s="243"/>
    </row>
    <row r="829" spans="2:16" ht="12.75">
      <c r="B829" s="238"/>
      <c r="H829" s="155"/>
      <c r="I829" s="239"/>
      <c r="L829" s="240"/>
      <c r="M829" s="241"/>
      <c r="N829" s="178"/>
      <c r="O829" s="242"/>
      <c r="P829" s="243"/>
    </row>
    <row r="830" spans="2:16" ht="12.75">
      <c r="B830" s="238"/>
      <c r="H830" s="155"/>
      <c r="I830" s="239"/>
      <c r="L830" s="240"/>
      <c r="M830" s="241"/>
      <c r="N830" s="178"/>
      <c r="O830" s="242"/>
      <c r="P830" s="243"/>
    </row>
    <row r="831" spans="2:16" ht="12.75">
      <c r="B831" s="238"/>
      <c r="H831" s="155"/>
      <c r="I831" s="239"/>
      <c r="L831" s="240"/>
      <c r="M831" s="241"/>
      <c r="N831" s="178"/>
      <c r="O831" s="242"/>
      <c r="P831" s="243"/>
    </row>
    <row r="832" spans="2:16" ht="12.75">
      <c r="B832" s="238"/>
      <c r="H832" s="155"/>
      <c r="I832" s="239"/>
      <c r="L832" s="240"/>
      <c r="M832" s="241"/>
      <c r="N832" s="178"/>
      <c r="O832" s="242"/>
      <c r="P832" s="243"/>
    </row>
    <row r="833" spans="2:16" ht="12.75">
      <c r="B833" s="238"/>
      <c r="H833" s="155"/>
      <c r="I833" s="239"/>
      <c r="L833" s="240"/>
      <c r="M833" s="241"/>
      <c r="N833" s="178"/>
      <c r="O833" s="242"/>
      <c r="P833" s="243"/>
    </row>
    <row r="834" spans="2:16" ht="12.75">
      <c r="B834" s="238"/>
      <c r="H834" s="155"/>
      <c r="I834" s="239"/>
      <c r="L834" s="240"/>
      <c r="M834" s="241"/>
      <c r="N834" s="178"/>
      <c r="O834" s="242"/>
      <c r="P834" s="243"/>
    </row>
    <row r="835" spans="2:16" ht="12.75">
      <c r="B835" s="238"/>
      <c r="H835" s="155"/>
      <c r="I835" s="239"/>
      <c r="L835" s="240"/>
      <c r="M835" s="241"/>
      <c r="N835" s="178"/>
      <c r="O835" s="242"/>
      <c r="P835" s="243"/>
    </row>
    <row r="836" spans="2:16" ht="12.75">
      <c r="B836" s="238"/>
      <c r="H836" s="155"/>
      <c r="I836" s="239"/>
      <c r="L836" s="240"/>
      <c r="M836" s="241"/>
      <c r="N836" s="178"/>
      <c r="O836" s="242"/>
      <c r="P836" s="243"/>
    </row>
    <row r="837" spans="2:16" ht="12.75">
      <c r="B837" s="238"/>
      <c r="H837" s="155"/>
      <c r="I837" s="239"/>
      <c r="L837" s="240"/>
      <c r="M837" s="241"/>
      <c r="N837" s="178"/>
      <c r="O837" s="242"/>
      <c r="P837" s="243"/>
    </row>
    <row r="838" spans="2:16" ht="12.75">
      <c r="B838" s="238"/>
      <c r="H838" s="155"/>
      <c r="I838" s="239"/>
      <c r="L838" s="240"/>
      <c r="M838" s="241"/>
      <c r="N838" s="178"/>
      <c r="O838" s="242"/>
      <c r="P838" s="243"/>
    </row>
    <row r="839" spans="2:16" ht="12.75">
      <c r="B839" s="238"/>
      <c r="H839" s="155"/>
      <c r="I839" s="239"/>
      <c r="L839" s="240"/>
      <c r="M839" s="241"/>
      <c r="N839" s="178"/>
      <c r="O839" s="242"/>
      <c r="P839" s="243"/>
    </row>
    <row r="840" spans="2:16" ht="12.75">
      <c r="B840" s="238"/>
      <c r="H840" s="155"/>
      <c r="I840" s="239"/>
      <c r="L840" s="240"/>
      <c r="M840" s="241"/>
      <c r="N840" s="178"/>
      <c r="O840" s="242"/>
      <c r="P840" s="243"/>
    </row>
    <row r="841" spans="2:16" ht="12.75">
      <c r="B841" s="238"/>
      <c r="H841" s="155"/>
      <c r="I841" s="239"/>
      <c r="L841" s="240"/>
      <c r="M841" s="241"/>
      <c r="N841" s="178"/>
      <c r="O841" s="242"/>
      <c r="P841" s="243"/>
    </row>
    <row r="842" spans="2:16" ht="12.75">
      <c r="B842" s="238"/>
      <c r="H842" s="155"/>
      <c r="I842" s="239"/>
      <c r="L842" s="240"/>
      <c r="M842" s="241"/>
      <c r="N842" s="178"/>
      <c r="O842" s="242"/>
      <c r="P842" s="243"/>
    </row>
    <row r="843" spans="2:16" ht="12.75">
      <c r="B843" s="238"/>
      <c r="H843" s="155"/>
      <c r="I843" s="239"/>
      <c r="L843" s="240"/>
      <c r="M843" s="241"/>
      <c r="N843" s="178"/>
      <c r="O843" s="242"/>
      <c r="P843" s="243"/>
    </row>
    <row r="844" spans="2:16" ht="12.75">
      <c r="B844" s="238"/>
      <c r="H844" s="155"/>
      <c r="I844" s="239"/>
      <c r="L844" s="240"/>
      <c r="M844" s="241"/>
      <c r="N844" s="178"/>
      <c r="O844" s="242"/>
      <c r="P844" s="243"/>
    </row>
    <row r="845" spans="2:16" ht="12.75">
      <c r="B845" s="238"/>
      <c r="H845" s="155"/>
      <c r="I845" s="239"/>
      <c r="L845" s="240"/>
      <c r="M845" s="241"/>
      <c r="N845" s="178"/>
      <c r="O845" s="242"/>
      <c r="P845" s="243"/>
    </row>
    <row r="846" spans="2:16" ht="12.75">
      <c r="B846" s="238"/>
      <c r="H846" s="155"/>
      <c r="I846" s="239"/>
      <c r="L846" s="240"/>
      <c r="M846" s="241"/>
      <c r="N846" s="178"/>
      <c r="O846" s="242"/>
      <c r="P846" s="243"/>
    </row>
    <row r="847" spans="2:16" ht="12.75">
      <c r="B847" s="238"/>
      <c r="H847" s="155"/>
      <c r="I847" s="239"/>
      <c r="L847" s="240"/>
      <c r="M847" s="241"/>
      <c r="N847" s="178"/>
      <c r="O847" s="242"/>
      <c r="P847" s="243"/>
    </row>
    <row r="848" spans="2:16" ht="12.75">
      <c r="B848" s="238"/>
      <c r="H848" s="155"/>
      <c r="I848" s="239"/>
      <c r="L848" s="240"/>
      <c r="M848" s="241"/>
      <c r="N848" s="178"/>
      <c r="O848" s="242"/>
      <c r="P848" s="243"/>
    </row>
    <row r="849" spans="2:16" ht="12.75">
      <c r="B849" s="238"/>
      <c r="H849" s="155"/>
      <c r="I849" s="239"/>
      <c r="L849" s="240"/>
      <c r="M849" s="241"/>
      <c r="N849" s="178"/>
      <c r="O849" s="242"/>
      <c r="P849" s="243"/>
    </row>
    <row r="850" spans="2:16" ht="12.75">
      <c r="B850" s="238"/>
      <c r="H850" s="155"/>
      <c r="I850" s="239"/>
      <c r="L850" s="240"/>
      <c r="M850" s="241"/>
      <c r="N850" s="178"/>
      <c r="O850" s="242"/>
      <c r="P850" s="243"/>
    </row>
    <row r="851" spans="2:16" ht="12.75">
      <c r="B851" s="238"/>
      <c r="H851" s="155"/>
      <c r="I851" s="239"/>
      <c r="L851" s="240"/>
      <c r="M851" s="241"/>
      <c r="N851" s="178"/>
      <c r="O851" s="242"/>
      <c r="P851" s="243"/>
    </row>
    <row r="852" spans="2:16" ht="12.75">
      <c r="B852" s="238"/>
      <c r="H852" s="155"/>
      <c r="I852" s="239"/>
      <c r="L852" s="240"/>
      <c r="M852" s="241"/>
      <c r="N852" s="178"/>
      <c r="O852" s="242"/>
      <c r="P852" s="243"/>
    </row>
    <row r="853" spans="2:16" ht="12.75">
      <c r="B853" s="238"/>
      <c r="H853" s="155"/>
      <c r="I853" s="239"/>
      <c r="L853" s="240"/>
      <c r="M853" s="241"/>
      <c r="N853" s="178"/>
      <c r="O853" s="242"/>
      <c r="P853" s="243"/>
    </row>
    <row r="854" spans="2:16" ht="12.75">
      <c r="B854" s="238"/>
      <c r="H854" s="155"/>
      <c r="I854" s="239"/>
      <c r="L854" s="240"/>
      <c r="M854" s="241"/>
      <c r="N854" s="178"/>
      <c r="O854" s="242"/>
      <c r="P854" s="243"/>
    </row>
    <row r="855" spans="2:16" ht="12.75">
      <c r="B855" s="238"/>
      <c r="H855" s="155"/>
      <c r="I855" s="239"/>
      <c r="L855" s="240"/>
      <c r="M855" s="241"/>
      <c r="N855" s="178"/>
      <c r="O855" s="242"/>
      <c r="P855" s="243"/>
    </row>
    <row r="856" spans="2:16" ht="12.75">
      <c r="B856" s="238"/>
      <c r="H856" s="155"/>
      <c r="I856" s="239"/>
      <c r="L856" s="240"/>
      <c r="M856" s="241"/>
      <c r="N856" s="178"/>
      <c r="O856" s="242"/>
      <c r="P856" s="243"/>
    </row>
    <row r="857" spans="2:16" ht="12.75">
      <c r="B857" s="238"/>
      <c r="H857" s="155"/>
      <c r="I857" s="239"/>
      <c r="L857" s="240"/>
      <c r="M857" s="241"/>
      <c r="N857" s="178"/>
      <c r="O857" s="242"/>
      <c r="P857" s="243"/>
    </row>
    <row r="858" spans="2:16" ht="12.75">
      <c r="B858" s="238"/>
      <c r="H858" s="155"/>
      <c r="I858" s="239"/>
      <c r="L858" s="240"/>
      <c r="M858" s="241"/>
      <c r="N858" s="178"/>
      <c r="O858" s="242"/>
      <c r="P858" s="243"/>
    </row>
    <row r="859" spans="2:16" ht="12.75">
      <c r="B859" s="238"/>
      <c r="H859" s="155"/>
      <c r="I859" s="239"/>
      <c r="L859" s="240"/>
      <c r="M859" s="241"/>
      <c r="N859" s="178"/>
      <c r="O859" s="242"/>
      <c r="P859" s="243"/>
    </row>
    <row r="860" spans="2:16" ht="12.75">
      <c r="B860" s="238"/>
      <c r="H860" s="155"/>
      <c r="I860" s="239"/>
      <c r="L860" s="240"/>
      <c r="M860" s="241"/>
      <c r="N860" s="178"/>
      <c r="O860" s="242"/>
      <c r="P860" s="243"/>
    </row>
    <row r="861" spans="2:16" ht="12.75">
      <c r="B861" s="238"/>
      <c r="H861" s="155"/>
      <c r="I861" s="239"/>
      <c r="L861" s="240"/>
      <c r="M861" s="241"/>
      <c r="N861" s="178"/>
      <c r="O861" s="242"/>
      <c r="P861" s="243"/>
    </row>
    <row r="862" spans="2:16" ht="12.75">
      <c r="B862" s="238"/>
      <c r="H862" s="155"/>
      <c r="I862" s="239"/>
      <c r="L862" s="240"/>
      <c r="M862" s="241"/>
      <c r="N862" s="178"/>
      <c r="O862" s="242"/>
      <c r="P862" s="243"/>
    </row>
    <row r="863" spans="2:16" ht="12.75">
      <c r="B863" s="238"/>
      <c r="H863" s="155"/>
      <c r="I863" s="239"/>
      <c r="L863" s="240"/>
      <c r="M863" s="241"/>
      <c r="N863" s="178"/>
      <c r="O863" s="242"/>
      <c r="P863" s="243"/>
    </row>
    <row r="864" spans="2:16" ht="12.75">
      <c r="B864" s="238"/>
      <c r="H864" s="155"/>
      <c r="I864" s="239"/>
      <c r="L864" s="240"/>
      <c r="M864" s="241"/>
      <c r="N864" s="178"/>
      <c r="O864" s="242"/>
      <c r="P864" s="243"/>
    </row>
    <row r="865" spans="2:16" ht="12.75">
      <c r="B865" s="238"/>
      <c r="H865" s="155"/>
      <c r="I865" s="239"/>
      <c r="L865" s="240"/>
      <c r="M865" s="241"/>
      <c r="N865" s="178"/>
      <c r="O865" s="242"/>
      <c r="P865" s="243"/>
    </row>
    <row r="866" spans="2:16" ht="12.75">
      <c r="B866" s="238"/>
      <c r="H866" s="155"/>
      <c r="I866" s="239"/>
      <c r="L866" s="240"/>
      <c r="M866" s="241"/>
      <c r="N866" s="178"/>
      <c r="O866" s="242"/>
      <c r="P866" s="243"/>
    </row>
    <row r="867" spans="2:16" ht="12.75">
      <c r="B867" s="238"/>
      <c r="H867" s="155"/>
      <c r="I867" s="239"/>
      <c r="L867" s="240"/>
      <c r="M867" s="241"/>
      <c r="N867" s="178"/>
      <c r="O867" s="242"/>
      <c r="P867" s="243"/>
    </row>
    <row r="868" spans="2:16" ht="12.75">
      <c r="B868" s="238"/>
      <c r="H868" s="155"/>
      <c r="I868" s="239"/>
      <c r="L868" s="240"/>
      <c r="M868" s="241"/>
      <c r="N868" s="178"/>
      <c r="O868" s="242"/>
      <c r="P868" s="243"/>
    </row>
    <row r="869" spans="2:16" ht="12.75">
      <c r="B869" s="238"/>
      <c r="H869" s="155"/>
      <c r="I869" s="239"/>
      <c r="L869" s="240"/>
      <c r="M869" s="241"/>
      <c r="N869" s="178"/>
      <c r="O869" s="242"/>
      <c r="P869" s="243"/>
    </row>
    <row r="870" spans="2:16" ht="12.75">
      <c r="B870" s="238"/>
      <c r="H870" s="155"/>
      <c r="I870" s="239"/>
      <c r="L870" s="240"/>
      <c r="M870" s="241"/>
      <c r="N870" s="178"/>
      <c r="O870" s="242"/>
      <c r="P870" s="243"/>
    </row>
    <row r="871" spans="2:16" ht="12.75">
      <c r="B871" s="238"/>
      <c r="H871" s="155"/>
      <c r="I871" s="239"/>
      <c r="L871" s="240"/>
      <c r="M871" s="241"/>
      <c r="N871" s="178"/>
      <c r="O871" s="242"/>
      <c r="P871" s="243"/>
    </row>
    <row r="872" spans="2:16" ht="12.75">
      <c r="B872" s="238"/>
      <c r="H872" s="155"/>
      <c r="I872" s="239"/>
      <c r="L872" s="240"/>
      <c r="M872" s="241"/>
      <c r="N872" s="178"/>
      <c r="O872" s="242"/>
      <c r="P872" s="243"/>
    </row>
    <row r="873" spans="2:16" ht="12.75">
      <c r="B873" s="238"/>
      <c r="H873" s="155"/>
      <c r="I873" s="239"/>
      <c r="L873" s="240"/>
      <c r="M873" s="241"/>
      <c r="N873" s="178"/>
      <c r="O873" s="242"/>
      <c r="P873" s="243"/>
    </row>
    <row r="874" spans="2:16" ht="12.75">
      <c r="B874" s="238"/>
      <c r="H874" s="155"/>
      <c r="I874" s="239"/>
      <c r="L874" s="240"/>
      <c r="M874" s="241"/>
      <c r="N874" s="178"/>
      <c r="O874" s="242"/>
      <c r="P874" s="243"/>
    </row>
    <row r="875" spans="2:16" ht="12.75">
      <c r="B875" s="238"/>
      <c r="H875" s="155"/>
      <c r="I875" s="239"/>
      <c r="L875" s="240"/>
      <c r="M875" s="241"/>
      <c r="N875" s="178"/>
      <c r="O875" s="242"/>
      <c r="P875" s="243"/>
    </row>
    <row r="876" spans="2:16" ht="12.75">
      <c r="B876" s="238"/>
      <c r="H876" s="155"/>
      <c r="I876" s="239"/>
      <c r="L876" s="240"/>
      <c r="M876" s="241"/>
      <c r="N876" s="178"/>
      <c r="O876" s="242"/>
      <c r="P876" s="243"/>
    </row>
    <row r="877" spans="2:16" ht="12.75">
      <c r="B877" s="238"/>
      <c r="H877" s="155"/>
      <c r="I877" s="239"/>
      <c r="L877" s="240"/>
      <c r="M877" s="241"/>
      <c r="N877" s="178"/>
      <c r="O877" s="242"/>
      <c r="P877" s="243"/>
    </row>
    <row r="878" spans="2:16" ht="12.75">
      <c r="B878" s="238"/>
      <c r="H878" s="155"/>
      <c r="I878" s="239"/>
      <c r="L878" s="240"/>
      <c r="M878" s="241"/>
      <c r="N878" s="178"/>
      <c r="O878" s="242"/>
      <c r="P878" s="243"/>
    </row>
    <row r="879" spans="2:16" ht="12.75">
      <c r="B879" s="238"/>
      <c r="H879" s="155"/>
      <c r="I879" s="239"/>
      <c r="L879" s="240"/>
      <c r="M879" s="241"/>
      <c r="N879" s="178"/>
      <c r="O879" s="242"/>
      <c r="P879" s="243"/>
    </row>
    <row r="880" spans="2:16" ht="12.75">
      <c r="B880" s="238"/>
      <c r="H880" s="155"/>
      <c r="I880" s="239"/>
      <c r="L880" s="240"/>
      <c r="M880" s="241"/>
      <c r="N880" s="178"/>
      <c r="O880" s="242"/>
      <c r="P880" s="243"/>
    </row>
    <row r="881" spans="2:16" ht="12.75">
      <c r="B881" s="238"/>
      <c r="H881" s="155"/>
      <c r="I881" s="239"/>
      <c r="L881" s="240"/>
      <c r="M881" s="241"/>
      <c r="N881" s="178"/>
      <c r="O881" s="242"/>
      <c r="P881" s="243"/>
    </row>
    <row r="882" spans="2:16" ht="12.75">
      <c r="B882" s="238"/>
      <c r="H882" s="155"/>
      <c r="I882" s="239"/>
      <c r="L882" s="240"/>
      <c r="M882" s="241"/>
      <c r="N882" s="178"/>
      <c r="O882" s="242"/>
      <c r="P882" s="243"/>
    </row>
    <row r="883" spans="2:16" ht="12.75">
      <c r="B883" s="238"/>
      <c r="H883" s="155"/>
      <c r="I883" s="239"/>
      <c r="L883" s="240"/>
      <c r="M883" s="241"/>
      <c r="N883" s="178"/>
      <c r="O883" s="242"/>
      <c r="P883" s="243"/>
    </row>
    <row r="884" spans="2:16" ht="12.75">
      <c r="B884" s="238"/>
      <c r="H884" s="155"/>
      <c r="I884" s="239"/>
      <c r="L884" s="240"/>
      <c r="M884" s="241"/>
      <c r="N884" s="178"/>
      <c r="O884" s="242"/>
      <c r="P884" s="243"/>
    </row>
    <row r="885" spans="2:16" ht="12.75">
      <c r="B885" s="238"/>
      <c r="H885" s="155"/>
      <c r="I885" s="239"/>
      <c r="L885" s="240"/>
      <c r="M885" s="241"/>
      <c r="N885" s="178"/>
      <c r="O885" s="242"/>
      <c r="P885" s="243"/>
    </row>
    <row r="886" spans="2:16" ht="12.75">
      <c r="B886" s="238"/>
      <c r="H886" s="155"/>
      <c r="I886" s="239"/>
      <c r="L886" s="240"/>
      <c r="M886" s="241"/>
      <c r="N886" s="178"/>
      <c r="O886" s="242"/>
      <c r="P886" s="243"/>
    </row>
    <row r="887" spans="2:16" ht="12.75">
      <c r="B887" s="238"/>
      <c r="H887" s="155"/>
      <c r="I887" s="239"/>
      <c r="L887" s="240"/>
      <c r="M887" s="241"/>
      <c r="N887" s="178"/>
      <c r="O887" s="242"/>
      <c r="P887" s="243"/>
    </row>
    <row r="888" spans="2:16" ht="12.75">
      <c r="B888" s="238"/>
      <c r="H888" s="155"/>
      <c r="I888" s="239"/>
      <c r="L888" s="240"/>
      <c r="M888" s="241"/>
      <c r="N888" s="178"/>
      <c r="O888" s="242"/>
      <c r="P888" s="243"/>
    </row>
    <row r="889" spans="2:16" ht="12.75">
      <c r="B889" s="238"/>
      <c r="H889" s="155"/>
      <c r="I889" s="239"/>
      <c r="L889" s="240"/>
      <c r="M889" s="241"/>
      <c r="N889" s="178"/>
      <c r="O889" s="242"/>
      <c r="P889" s="243"/>
    </row>
    <row r="890" spans="2:16" ht="12.75">
      <c r="B890" s="238"/>
      <c r="H890" s="155"/>
      <c r="I890" s="239"/>
      <c r="L890" s="240"/>
      <c r="M890" s="241"/>
      <c r="N890" s="178"/>
      <c r="O890" s="242"/>
      <c r="P890" s="243"/>
    </row>
    <row r="891" spans="2:16" ht="12.75">
      <c r="B891" s="238"/>
      <c r="H891" s="155"/>
      <c r="I891" s="239"/>
      <c r="L891" s="240"/>
      <c r="M891" s="241"/>
      <c r="N891" s="178"/>
      <c r="O891" s="242"/>
      <c r="P891" s="243"/>
    </row>
    <row r="892" spans="2:16" ht="12.75">
      <c r="B892" s="238"/>
      <c r="H892" s="155"/>
      <c r="I892" s="239"/>
      <c r="L892" s="240"/>
      <c r="M892" s="241"/>
      <c r="N892" s="178"/>
      <c r="O892" s="242"/>
      <c r="P892" s="243"/>
    </row>
    <row r="893" spans="2:16" ht="12.75">
      <c r="B893" s="238"/>
      <c r="H893" s="155"/>
      <c r="I893" s="239"/>
      <c r="L893" s="240"/>
      <c r="M893" s="241"/>
      <c r="N893" s="178"/>
      <c r="O893" s="242"/>
      <c r="P893" s="243"/>
    </row>
    <row r="894" spans="2:16" ht="12.75">
      <c r="B894" s="238"/>
      <c r="H894" s="155"/>
      <c r="I894" s="239"/>
      <c r="L894" s="240"/>
      <c r="M894" s="241"/>
      <c r="N894" s="178"/>
      <c r="O894" s="242"/>
      <c r="P894" s="243"/>
    </row>
    <row r="895" spans="2:16" ht="12.75">
      <c r="B895" s="238"/>
      <c r="H895" s="155"/>
      <c r="I895" s="239"/>
      <c r="L895" s="240"/>
      <c r="M895" s="241"/>
      <c r="N895" s="178"/>
      <c r="O895" s="242"/>
      <c r="P895" s="243"/>
    </row>
    <row r="896" spans="2:16" ht="12.75">
      <c r="B896" s="238"/>
      <c r="H896" s="155"/>
      <c r="I896" s="239"/>
      <c r="L896" s="240"/>
      <c r="M896" s="241"/>
      <c r="N896" s="178"/>
      <c r="O896" s="242"/>
      <c r="P896" s="243"/>
    </row>
    <row r="897" spans="2:16" ht="12.75">
      <c r="B897" s="238"/>
      <c r="H897" s="155"/>
      <c r="I897" s="239"/>
      <c r="L897" s="240"/>
      <c r="M897" s="241"/>
      <c r="N897" s="178"/>
      <c r="O897" s="242"/>
      <c r="P897" s="243"/>
    </row>
    <row r="898" spans="2:16" ht="12.75">
      <c r="B898" s="238"/>
      <c r="H898" s="155"/>
      <c r="I898" s="239"/>
      <c r="L898" s="240"/>
      <c r="M898" s="241"/>
      <c r="N898" s="178"/>
      <c r="O898" s="242"/>
      <c r="P898" s="243"/>
    </row>
    <row r="899" spans="2:16" ht="12.75">
      <c r="B899" s="238"/>
      <c r="H899" s="155"/>
      <c r="I899" s="239"/>
      <c r="L899" s="240"/>
      <c r="M899" s="241"/>
      <c r="N899" s="178"/>
      <c r="O899" s="242"/>
      <c r="P899" s="243"/>
    </row>
    <row r="900" spans="2:16" ht="12.75">
      <c r="B900" s="238"/>
      <c r="H900" s="155"/>
      <c r="I900" s="239"/>
      <c r="L900" s="240"/>
      <c r="M900" s="241"/>
      <c r="N900" s="178"/>
      <c r="O900" s="242"/>
      <c r="P900" s="243"/>
    </row>
    <row r="901" spans="2:16" ht="12.75">
      <c r="B901" s="238"/>
      <c r="H901" s="155"/>
      <c r="I901" s="239"/>
      <c r="L901" s="240"/>
      <c r="M901" s="241"/>
      <c r="N901" s="178"/>
      <c r="O901" s="242"/>
      <c r="P901" s="243"/>
    </row>
    <row r="902" spans="2:16" ht="12.75">
      <c r="B902" s="238"/>
      <c r="H902" s="155"/>
      <c r="I902" s="239"/>
      <c r="L902" s="240"/>
      <c r="M902" s="241"/>
      <c r="N902" s="178"/>
      <c r="O902" s="242"/>
      <c r="P902" s="243"/>
    </row>
    <row r="903" spans="2:16" ht="12.75">
      <c r="B903" s="238"/>
      <c r="H903" s="155"/>
      <c r="I903" s="239"/>
      <c r="L903" s="240"/>
      <c r="M903" s="241"/>
      <c r="N903" s="178"/>
      <c r="O903" s="242"/>
      <c r="P903" s="243"/>
    </row>
    <row r="904" spans="2:16" ht="12.75">
      <c r="B904" s="238"/>
      <c r="H904" s="155"/>
      <c r="I904" s="239"/>
      <c r="L904" s="240"/>
      <c r="M904" s="241"/>
      <c r="N904" s="178"/>
      <c r="O904" s="242"/>
      <c r="P904" s="243"/>
    </row>
    <row r="905" spans="2:16" ht="12.75">
      <c r="B905" s="238"/>
      <c r="H905" s="155"/>
      <c r="I905" s="239"/>
      <c r="L905" s="240"/>
      <c r="M905" s="241"/>
      <c r="N905" s="178"/>
      <c r="O905" s="242"/>
      <c r="P905" s="243"/>
    </row>
    <row r="906" spans="2:16" ht="12.75">
      <c r="B906" s="238"/>
      <c r="H906" s="155"/>
      <c r="I906" s="239"/>
      <c r="L906" s="240"/>
      <c r="M906" s="241"/>
      <c r="N906" s="178"/>
      <c r="O906" s="242"/>
      <c r="P906" s="243"/>
    </row>
    <row r="907" spans="2:16" ht="12.75">
      <c r="B907" s="238"/>
      <c r="H907" s="155"/>
      <c r="I907" s="239"/>
      <c r="L907" s="240"/>
      <c r="M907" s="241"/>
      <c r="N907" s="178"/>
      <c r="O907" s="242"/>
      <c r="P907" s="243"/>
    </row>
    <row r="908" spans="2:16" ht="12.75">
      <c r="B908" s="238"/>
      <c r="H908" s="155"/>
      <c r="I908" s="239"/>
      <c r="L908" s="240"/>
      <c r="M908" s="241"/>
      <c r="N908" s="178"/>
      <c r="O908" s="242"/>
      <c r="P908" s="243"/>
    </row>
    <row r="909" spans="2:16" ht="12.75">
      <c r="B909" s="238"/>
      <c r="H909" s="155"/>
      <c r="I909" s="239"/>
      <c r="L909" s="240"/>
      <c r="M909" s="241"/>
      <c r="N909" s="178"/>
      <c r="O909" s="242"/>
      <c r="P909" s="243"/>
    </row>
    <row r="910" spans="2:16" ht="12.75">
      <c r="B910" s="238"/>
      <c r="H910" s="155"/>
      <c r="I910" s="239"/>
      <c r="L910" s="240"/>
      <c r="M910" s="241"/>
      <c r="N910" s="178"/>
      <c r="O910" s="242"/>
      <c r="P910" s="243"/>
    </row>
    <row r="911" spans="2:16" ht="12.75">
      <c r="B911" s="238"/>
      <c r="H911" s="155"/>
      <c r="I911" s="239"/>
      <c r="L911" s="240"/>
      <c r="M911" s="241"/>
      <c r="N911" s="178"/>
      <c r="O911" s="242"/>
      <c r="P911" s="243"/>
    </row>
    <row r="912" spans="2:16" ht="12.75">
      <c r="B912" s="238"/>
      <c r="H912" s="155"/>
      <c r="I912" s="239"/>
      <c r="L912" s="240"/>
      <c r="M912" s="241"/>
      <c r="N912" s="178"/>
      <c r="O912" s="242"/>
      <c r="P912" s="243"/>
    </row>
    <row r="913" spans="2:16" ht="12.75">
      <c r="B913" s="238"/>
      <c r="H913" s="155"/>
      <c r="I913" s="239"/>
      <c r="L913" s="240"/>
      <c r="M913" s="241"/>
      <c r="N913" s="178"/>
      <c r="O913" s="242"/>
      <c r="P913" s="243"/>
    </row>
    <row r="914" spans="2:16" ht="12.75">
      <c r="B914" s="238"/>
      <c r="H914" s="155"/>
      <c r="I914" s="239"/>
      <c r="L914" s="240"/>
      <c r="M914" s="241"/>
      <c r="N914" s="178"/>
      <c r="O914" s="242"/>
      <c r="P914" s="243"/>
    </row>
    <row r="915" spans="2:16" ht="12.75">
      <c r="B915" s="238"/>
      <c r="H915" s="155"/>
      <c r="I915" s="239"/>
      <c r="L915" s="240"/>
      <c r="M915" s="241"/>
      <c r="N915" s="178"/>
      <c r="O915" s="242"/>
      <c r="P915" s="243"/>
    </row>
    <row r="916" spans="2:16" ht="12.75">
      <c r="B916" s="238"/>
      <c r="H916" s="155"/>
      <c r="I916" s="239"/>
      <c r="L916" s="240"/>
      <c r="M916" s="241"/>
      <c r="N916" s="178"/>
      <c r="O916" s="242"/>
      <c r="P916" s="243"/>
    </row>
    <row r="917" spans="2:16" ht="12.75">
      <c r="B917" s="238"/>
      <c r="H917" s="155"/>
      <c r="I917" s="239"/>
      <c r="L917" s="240"/>
      <c r="M917" s="241"/>
      <c r="N917" s="178"/>
      <c r="O917" s="242"/>
      <c r="P917" s="243"/>
    </row>
    <row r="918" spans="2:16" ht="12.75">
      <c r="B918" s="238"/>
      <c r="H918" s="155"/>
      <c r="I918" s="239"/>
      <c r="L918" s="240"/>
      <c r="M918" s="241"/>
      <c r="N918" s="178"/>
      <c r="O918" s="242"/>
      <c r="P918" s="243"/>
    </row>
    <row r="919" spans="2:16" ht="12.75">
      <c r="B919" s="238"/>
      <c r="H919" s="155"/>
      <c r="I919" s="239"/>
      <c r="L919" s="240"/>
      <c r="M919" s="241"/>
      <c r="N919" s="178"/>
      <c r="O919" s="242"/>
      <c r="P919" s="243"/>
    </row>
    <row r="920" spans="2:16" ht="12.75">
      <c r="B920" s="238"/>
      <c r="H920" s="155"/>
      <c r="I920" s="239"/>
      <c r="L920" s="240"/>
      <c r="M920" s="241"/>
      <c r="N920" s="178"/>
      <c r="O920" s="242"/>
      <c r="P920" s="243"/>
    </row>
    <row r="921" spans="2:16" ht="12.75">
      <c r="B921" s="238"/>
      <c r="H921" s="155"/>
      <c r="I921" s="239"/>
      <c r="L921" s="240"/>
      <c r="M921" s="241"/>
      <c r="N921" s="178"/>
      <c r="O921" s="242"/>
      <c r="P921" s="243"/>
    </row>
    <row r="922" spans="2:16" ht="12.75">
      <c r="B922" s="238"/>
      <c r="H922" s="155"/>
      <c r="I922" s="239"/>
      <c r="L922" s="240"/>
      <c r="M922" s="241"/>
      <c r="N922" s="178"/>
      <c r="O922" s="242"/>
      <c r="P922" s="243"/>
    </row>
    <row r="923" spans="2:16" ht="12.75">
      <c r="B923" s="238"/>
      <c r="H923" s="155"/>
      <c r="I923" s="239"/>
      <c r="L923" s="240"/>
      <c r="M923" s="241"/>
      <c r="N923" s="178"/>
      <c r="O923" s="242"/>
      <c r="P923" s="243"/>
    </row>
    <row r="924" spans="2:16" ht="12.75">
      <c r="B924" s="238"/>
      <c r="H924" s="155"/>
      <c r="I924" s="239"/>
      <c r="L924" s="240"/>
      <c r="M924" s="241"/>
      <c r="N924" s="178"/>
      <c r="O924" s="242"/>
      <c r="P924" s="243"/>
    </row>
    <row r="925" spans="2:16" ht="12.75">
      <c r="B925" s="238"/>
      <c r="H925" s="155"/>
      <c r="I925" s="239"/>
      <c r="L925" s="240"/>
      <c r="M925" s="241"/>
      <c r="N925" s="178"/>
      <c r="O925" s="242"/>
      <c r="P925" s="243"/>
    </row>
    <row r="926" spans="2:16" ht="12.75">
      <c r="B926" s="238"/>
      <c r="H926" s="155"/>
      <c r="I926" s="239"/>
      <c r="L926" s="240"/>
      <c r="M926" s="241"/>
      <c r="N926" s="178"/>
      <c r="O926" s="242"/>
      <c r="P926" s="243"/>
    </row>
    <row r="927" spans="2:16" ht="12.75">
      <c r="B927" s="238"/>
      <c r="H927" s="155"/>
      <c r="I927" s="239"/>
      <c r="L927" s="240"/>
      <c r="M927" s="241"/>
      <c r="N927" s="178"/>
      <c r="O927" s="242"/>
      <c r="P927" s="243"/>
    </row>
    <row r="928" spans="2:16" ht="12.75">
      <c r="B928" s="238"/>
      <c r="H928" s="155"/>
      <c r="I928" s="239"/>
      <c r="L928" s="240"/>
      <c r="M928" s="241"/>
      <c r="N928" s="178"/>
      <c r="O928" s="242"/>
      <c r="P928" s="243"/>
    </row>
    <row r="929" spans="2:16" ht="12.75">
      <c r="B929" s="238"/>
      <c r="H929" s="155"/>
      <c r="I929" s="239"/>
      <c r="L929" s="240"/>
      <c r="M929" s="241"/>
      <c r="N929" s="178"/>
      <c r="O929" s="242"/>
      <c r="P929" s="243"/>
    </row>
    <row r="930" spans="2:16" ht="12.75">
      <c r="B930" s="238"/>
      <c r="H930" s="155"/>
      <c r="I930" s="239"/>
      <c r="L930" s="240"/>
      <c r="M930" s="241"/>
      <c r="N930" s="178"/>
      <c r="O930" s="242"/>
      <c r="P930" s="243"/>
    </row>
    <row r="931" spans="2:16" ht="12.75">
      <c r="B931" s="238"/>
      <c r="H931" s="155"/>
      <c r="I931" s="239"/>
      <c r="L931" s="240"/>
      <c r="M931" s="241"/>
      <c r="N931" s="178"/>
      <c r="O931" s="242"/>
      <c r="P931" s="243"/>
    </row>
    <row r="932" spans="2:16" ht="12.75">
      <c r="B932" s="238"/>
      <c r="H932" s="155"/>
      <c r="I932" s="239"/>
      <c r="L932" s="240"/>
      <c r="M932" s="241"/>
      <c r="N932" s="178"/>
      <c r="O932" s="242"/>
      <c r="P932" s="243"/>
    </row>
    <row r="933" spans="2:16" ht="12.75">
      <c r="B933" s="238"/>
      <c r="H933" s="155"/>
      <c r="I933" s="239"/>
      <c r="L933" s="240"/>
      <c r="M933" s="241"/>
      <c r="N933" s="178"/>
      <c r="O933" s="242"/>
      <c r="P933" s="243"/>
    </row>
    <row r="934" spans="2:16" ht="12.75">
      <c r="B934" s="238"/>
      <c r="H934" s="155"/>
      <c r="I934" s="239"/>
      <c r="L934" s="240"/>
      <c r="M934" s="241"/>
      <c r="N934" s="178"/>
      <c r="O934" s="242"/>
      <c r="P934" s="243"/>
    </row>
    <row r="935" spans="2:16" ht="12.75">
      <c r="B935" s="238"/>
      <c r="H935" s="155"/>
      <c r="I935" s="239"/>
      <c r="L935" s="240"/>
      <c r="M935" s="241"/>
      <c r="N935" s="178"/>
      <c r="O935" s="242"/>
      <c r="P935" s="243"/>
    </row>
    <row r="936" spans="2:16" ht="12.75">
      <c r="B936" s="238"/>
      <c r="H936" s="155"/>
      <c r="I936" s="239"/>
      <c r="L936" s="240"/>
      <c r="M936" s="241"/>
      <c r="N936" s="178"/>
      <c r="O936" s="242"/>
      <c r="P936" s="243"/>
    </row>
    <row r="937" spans="2:16" ht="12.75">
      <c r="B937" s="238"/>
      <c r="H937" s="155"/>
      <c r="I937" s="239"/>
      <c r="L937" s="240"/>
      <c r="M937" s="241"/>
      <c r="N937" s="178"/>
      <c r="O937" s="242"/>
      <c r="P937" s="243"/>
    </row>
    <row r="938" spans="2:16" ht="12.75">
      <c r="B938" s="238"/>
      <c r="H938" s="155"/>
      <c r="I938" s="239"/>
      <c r="L938" s="240"/>
      <c r="M938" s="241"/>
      <c r="N938" s="178"/>
      <c r="O938" s="242"/>
      <c r="P938" s="243"/>
    </row>
    <row r="939" spans="2:16" ht="12.75">
      <c r="B939" s="238"/>
      <c r="H939" s="155"/>
      <c r="I939" s="239"/>
      <c r="L939" s="240"/>
      <c r="M939" s="241"/>
      <c r="N939" s="178"/>
      <c r="O939" s="242"/>
      <c r="P939" s="243"/>
    </row>
    <row r="940" spans="2:16" ht="12.75">
      <c r="B940" s="238"/>
      <c r="H940" s="155"/>
      <c r="I940" s="239"/>
      <c r="L940" s="240"/>
      <c r="M940" s="241"/>
      <c r="N940" s="178"/>
      <c r="O940" s="242"/>
      <c r="P940" s="243"/>
    </row>
    <row r="941" spans="2:16" ht="12.75">
      <c r="B941" s="238"/>
      <c r="H941" s="155"/>
      <c r="I941" s="239"/>
      <c r="L941" s="240"/>
      <c r="M941" s="241"/>
      <c r="N941" s="178"/>
      <c r="O941" s="242"/>
      <c r="P941" s="243"/>
    </row>
    <row r="942" spans="2:16" ht="12.75">
      <c r="B942" s="238"/>
      <c r="H942" s="155"/>
      <c r="I942" s="239"/>
      <c r="L942" s="240"/>
      <c r="M942" s="241"/>
      <c r="N942" s="178"/>
      <c r="O942" s="242"/>
      <c r="P942" s="243"/>
    </row>
    <row r="943" spans="2:16" ht="12.75">
      <c r="B943" s="238"/>
      <c r="H943" s="155"/>
      <c r="I943" s="239"/>
      <c r="L943" s="240"/>
      <c r="M943" s="241"/>
      <c r="N943" s="178"/>
      <c r="O943" s="242"/>
      <c r="P943" s="243"/>
    </row>
    <row r="944" spans="2:16" ht="12.75">
      <c r="B944" s="238"/>
      <c r="H944" s="155"/>
      <c r="I944" s="239"/>
      <c r="L944" s="240"/>
      <c r="M944" s="241"/>
      <c r="N944" s="178"/>
      <c r="O944" s="242"/>
      <c r="P944" s="243"/>
    </row>
    <row r="945" spans="2:16" ht="12.75">
      <c r="B945" s="238"/>
      <c r="H945" s="155"/>
      <c r="I945" s="239"/>
      <c r="L945" s="240"/>
      <c r="M945" s="241"/>
      <c r="N945" s="178"/>
      <c r="O945" s="242"/>
      <c r="P945" s="243"/>
    </row>
    <row r="946" spans="2:16" ht="12.75">
      <c r="B946" s="238"/>
      <c r="H946" s="155"/>
      <c r="I946" s="239"/>
      <c r="L946" s="240"/>
      <c r="M946" s="241"/>
      <c r="N946" s="178"/>
      <c r="O946" s="242"/>
      <c r="P946" s="243"/>
    </row>
    <row r="947" spans="2:16" ht="12.75">
      <c r="B947" s="238"/>
      <c r="H947" s="155"/>
      <c r="I947" s="239"/>
      <c r="L947" s="240"/>
      <c r="M947" s="241"/>
      <c r="N947" s="178"/>
      <c r="O947" s="242"/>
      <c r="P947" s="243"/>
    </row>
    <row r="948" spans="2:16" ht="12.75">
      <c r="B948" s="238"/>
      <c r="H948" s="155"/>
      <c r="I948" s="239"/>
      <c r="L948" s="240"/>
      <c r="M948" s="241"/>
      <c r="N948" s="178"/>
      <c r="O948" s="242"/>
      <c r="P948" s="243"/>
    </row>
    <row r="949" spans="2:16" ht="12.75">
      <c r="B949" s="238"/>
      <c r="H949" s="155"/>
      <c r="I949" s="239"/>
      <c r="L949" s="240"/>
      <c r="M949" s="241"/>
      <c r="N949" s="178"/>
      <c r="O949" s="242"/>
      <c r="P949" s="243"/>
    </row>
    <row r="950" spans="2:16" ht="12.75">
      <c r="B950" s="238"/>
      <c r="H950" s="155"/>
      <c r="I950" s="239"/>
      <c r="L950" s="240"/>
      <c r="M950" s="241"/>
      <c r="N950" s="178"/>
      <c r="O950" s="242"/>
      <c r="P950" s="243"/>
    </row>
    <row r="951" spans="2:16" ht="12.75">
      <c r="B951" s="238"/>
      <c r="H951" s="155"/>
      <c r="I951" s="239"/>
      <c r="L951" s="240"/>
      <c r="M951" s="241"/>
      <c r="N951" s="178"/>
      <c r="O951" s="242"/>
      <c r="P951" s="243"/>
    </row>
    <row r="952" spans="2:16" ht="12.75">
      <c r="B952" s="238"/>
      <c r="H952" s="155"/>
      <c r="I952" s="239"/>
      <c r="L952" s="240"/>
      <c r="M952" s="241"/>
      <c r="N952" s="178"/>
      <c r="O952" s="242"/>
      <c r="P952" s="243"/>
    </row>
    <row r="953" spans="2:16" ht="12.75">
      <c r="B953" s="238"/>
      <c r="H953" s="155"/>
      <c r="I953" s="239"/>
      <c r="L953" s="240"/>
      <c r="M953" s="241"/>
      <c r="N953" s="178"/>
      <c r="O953" s="242"/>
      <c r="P953" s="243"/>
    </row>
    <row r="954" spans="2:16" ht="12.75">
      <c r="B954" s="238"/>
      <c r="H954" s="155"/>
      <c r="I954" s="239"/>
      <c r="L954" s="240"/>
      <c r="M954" s="241"/>
      <c r="N954" s="178"/>
      <c r="O954" s="242"/>
      <c r="P954" s="243"/>
    </row>
    <row r="955" spans="2:16" ht="12.75">
      <c r="B955" s="238"/>
      <c r="H955" s="155"/>
      <c r="I955" s="239"/>
      <c r="L955" s="240"/>
      <c r="M955" s="241"/>
      <c r="N955" s="178"/>
      <c r="O955" s="242"/>
      <c r="P955" s="243"/>
    </row>
    <row r="956" spans="2:16" ht="12.75">
      <c r="B956" s="238"/>
      <c r="H956" s="155"/>
      <c r="I956" s="239"/>
      <c r="L956" s="240"/>
      <c r="M956" s="241"/>
      <c r="N956" s="178"/>
      <c r="O956" s="242"/>
      <c r="P956" s="243"/>
    </row>
    <row r="957" spans="2:16" ht="12.75">
      <c r="B957" s="238"/>
      <c r="H957" s="155"/>
      <c r="I957" s="239"/>
      <c r="L957" s="240"/>
      <c r="M957" s="241"/>
      <c r="N957" s="178"/>
      <c r="O957" s="242"/>
      <c r="P957" s="243"/>
    </row>
    <row r="958" spans="2:16" ht="12.75">
      <c r="B958" s="238"/>
      <c r="H958" s="155"/>
      <c r="I958" s="239"/>
      <c r="L958" s="240"/>
      <c r="M958" s="241"/>
      <c r="N958" s="178"/>
      <c r="O958" s="242"/>
      <c r="P958" s="243"/>
    </row>
    <row r="959" spans="2:16" ht="12.75">
      <c r="B959" s="238"/>
      <c r="H959" s="155"/>
      <c r="I959" s="239"/>
      <c r="L959" s="240"/>
      <c r="M959" s="241"/>
      <c r="N959" s="178"/>
      <c r="O959" s="242"/>
      <c r="P959" s="243"/>
    </row>
    <row r="960" spans="2:16" ht="12.75">
      <c r="B960" s="238"/>
      <c r="H960" s="155"/>
      <c r="I960" s="239"/>
      <c r="L960" s="240"/>
      <c r="M960" s="241"/>
      <c r="N960" s="178"/>
      <c r="O960" s="242"/>
      <c r="P960" s="243"/>
    </row>
    <row r="961" spans="2:16" ht="12.75">
      <c r="B961" s="238"/>
      <c r="H961" s="155"/>
      <c r="I961" s="239"/>
      <c r="L961" s="240"/>
      <c r="M961" s="241"/>
      <c r="N961" s="178"/>
      <c r="O961" s="242"/>
      <c r="P961" s="243"/>
    </row>
    <row r="962" spans="2:16" ht="12.75">
      <c r="B962" s="238"/>
      <c r="H962" s="155"/>
      <c r="I962" s="239"/>
      <c r="L962" s="240"/>
      <c r="M962" s="241"/>
      <c r="N962" s="178"/>
      <c r="O962" s="242"/>
      <c r="P962" s="243"/>
    </row>
    <row r="963" spans="2:16" ht="12.75">
      <c r="B963" s="238"/>
      <c r="H963" s="155"/>
      <c r="I963" s="239"/>
      <c r="L963" s="240"/>
      <c r="M963" s="241"/>
      <c r="N963" s="178"/>
      <c r="O963" s="242"/>
      <c r="P963" s="243"/>
    </row>
    <row r="964" spans="2:16" ht="12.75">
      <c r="B964" s="238"/>
      <c r="H964" s="155"/>
      <c r="I964" s="239"/>
      <c r="L964" s="240"/>
      <c r="M964" s="241"/>
      <c r="N964" s="178"/>
      <c r="O964" s="242"/>
      <c r="P964" s="243"/>
    </row>
    <row r="965" spans="2:16" ht="12.75">
      <c r="B965" s="238"/>
      <c r="H965" s="155"/>
      <c r="I965" s="239"/>
      <c r="L965" s="240"/>
      <c r="M965" s="241"/>
      <c r="N965" s="178"/>
      <c r="O965" s="242"/>
      <c r="P965" s="243"/>
    </row>
    <row r="966" spans="2:16" ht="12.75">
      <c r="B966" s="238"/>
      <c r="H966" s="155"/>
      <c r="I966" s="239"/>
      <c r="L966" s="240"/>
      <c r="M966" s="241"/>
      <c r="N966" s="178"/>
      <c r="O966" s="242"/>
      <c r="P966" s="243"/>
    </row>
    <row r="967" spans="2:16" ht="12.75">
      <c r="B967" s="238"/>
      <c r="H967" s="155"/>
      <c r="I967" s="239"/>
      <c r="L967" s="240"/>
      <c r="M967" s="241"/>
      <c r="N967" s="178"/>
      <c r="O967" s="242"/>
      <c r="P967" s="243"/>
    </row>
    <row r="968" spans="2:16" ht="12.75">
      <c r="B968" s="238"/>
      <c r="H968" s="155"/>
      <c r="I968" s="239"/>
      <c r="L968" s="240"/>
      <c r="M968" s="241"/>
      <c r="N968" s="178"/>
      <c r="O968" s="242"/>
      <c r="P968" s="243"/>
    </row>
    <row r="969" spans="2:16" ht="12.75">
      <c r="B969" s="238"/>
      <c r="H969" s="155"/>
      <c r="I969" s="239"/>
      <c r="L969" s="240"/>
      <c r="M969" s="241"/>
      <c r="N969" s="178"/>
      <c r="O969" s="242"/>
      <c r="P969" s="243"/>
    </row>
    <row r="970" spans="2:16" ht="12.75">
      <c r="B970" s="238"/>
      <c r="H970" s="155"/>
      <c r="I970" s="239"/>
      <c r="L970" s="240"/>
      <c r="M970" s="241"/>
      <c r="N970" s="178"/>
      <c r="O970" s="242"/>
      <c r="P970" s="243"/>
    </row>
    <row r="971" spans="2:16" ht="12.75">
      <c r="B971" s="238"/>
      <c r="H971" s="155"/>
      <c r="I971" s="239"/>
      <c r="L971" s="240"/>
      <c r="M971" s="241"/>
      <c r="N971" s="178"/>
      <c r="O971" s="242"/>
      <c r="P971" s="243"/>
    </row>
    <row r="972" spans="2:16" ht="12.75">
      <c r="B972" s="238"/>
      <c r="H972" s="155"/>
      <c r="I972" s="239"/>
      <c r="L972" s="240"/>
      <c r="M972" s="241"/>
      <c r="N972" s="178"/>
      <c r="O972" s="242"/>
      <c r="P972" s="243"/>
    </row>
    <row r="973" spans="2:16" ht="12.75">
      <c r="B973" s="238"/>
      <c r="H973" s="155"/>
      <c r="I973" s="239"/>
      <c r="L973" s="240"/>
      <c r="M973" s="241"/>
      <c r="N973" s="178"/>
      <c r="O973" s="242"/>
      <c r="P973" s="243"/>
    </row>
    <row r="974" spans="2:16" ht="12.75">
      <c r="B974" s="238"/>
      <c r="H974" s="155"/>
      <c r="I974" s="239"/>
      <c r="L974" s="240"/>
      <c r="M974" s="241"/>
      <c r="N974" s="178"/>
      <c r="O974" s="242"/>
      <c r="P974" s="243"/>
    </row>
    <row r="975" spans="2:16" ht="12.75">
      <c r="B975" s="238"/>
      <c r="H975" s="155"/>
      <c r="I975" s="239"/>
      <c r="L975" s="240"/>
      <c r="M975" s="241"/>
      <c r="N975" s="178"/>
      <c r="O975" s="242"/>
      <c r="P975" s="243"/>
    </row>
    <row r="976" spans="2:16" ht="12.75">
      <c r="B976" s="238"/>
      <c r="H976" s="155"/>
      <c r="I976" s="239"/>
      <c r="L976" s="240"/>
      <c r="M976" s="241"/>
      <c r="N976" s="178"/>
      <c r="O976" s="242"/>
      <c r="P976" s="243"/>
    </row>
    <row r="977" spans="2:16" ht="12.75">
      <c r="B977" s="238"/>
      <c r="H977" s="155"/>
      <c r="I977" s="239"/>
      <c r="L977" s="240"/>
      <c r="M977" s="241"/>
      <c r="N977" s="178"/>
      <c r="O977" s="242"/>
      <c r="P977" s="243"/>
    </row>
    <row r="978" spans="2:16" ht="12.75">
      <c r="B978" s="238"/>
      <c r="H978" s="155"/>
      <c r="I978" s="239"/>
      <c r="L978" s="240"/>
      <c r="M978" s="241"/>
      <c r="N978" s="178"/>
      <c r="O978" s="242"/>
      <c r="P978" s="243"/>
    </row>
    <row r="979" spans="2:16" ht="12.75">
      <c r="B979" s="238"/>
      <c r="H979" s="155"/>
      <c r="I979" s="239"/>
      <c r="L979" s="240"/>
      <c r="M979" s="241"/>
      <c r="N979" s="178"/>
      <c r="O979" s="242"/>
      <c r="P979" s="243"/>
    </row>
    <row r="980" spans="2:16" ht="12.75">
      <c r="B980" s="238"/>
      <c r="H980" s="155"/>
      <c r="I980" s="239"/>
      <c r="L980" s="240"/>
      <c r="M980" s="241"/>
      <c r="N980" s="178"/>
      <c r="O980" s="242"/>
      <c r="P980" s="243"/>
    </row>
    <row r="981" spans="2:16" ht="12.75">
      <c r="B981" s="238"/>
      <c r="H981" s="155"/>
      <c r="I981" s="239"/>
      <c r="L981" s="240"/>
      <c r="M981" s="241"/>
      <c r="N981" s="178"/>
      <c r="O981" s="242"/>
      <c r="P981" s="243"/>
    </row>
    <row r="982" spans="2:16" ht="12.75">
      <c r="B982" s="238"/>
      <c r="H982" s="155"/>
      <c r="I982" s="239"/>
      <c r="L982" s="240"/>
      <c r="M982" s="241"/>
      <c r="N982" s="178"/>
      <c r="O982" s="242"/>
      <c r="P982" s="243"/>
    </row>
    <row r="983" spans="2:16" ht="12.75">
      <c r="B983" s="238"/>
      <c r="H983" s="155"/>
      <c r="I983" s="239"/>
      <c r="L983" s="240"/>
      <c r="M983" s="241"/>
      <c r="N983" s="178"/>
      <c r="O983" s="242"/>
      <c r="P983" s="243"/>
    </row>
    <row r="984" spans="2:16" ht="12.75">
      <c r="B984" s="238"/>
      <c r="H984" s="155"/>
      <c r="I984" s="239"/>
      <c r="L984" s="240"/>
      <c r="M984" s="241"/>
      <c r="N984" s="178"/>
      <c r="O984" s="242"/>
      <c r="P984" s="243"/>
    </row>
    <row r="985" spans="2:16" ht="12.75">
      <c r="B985" s="238"/>
      <c r="H985" s="155"/>
      <c r="I985" s="239"/>
      <c r="L985" s="240"/>
      <c r="M985" s="241"/>
      <c r="N985" s="178"/>
      <c r="O985" s="242"/>
      <c r="P985" s="243"/>
    </row>
    <row r="986" spans="2:16" ht="12.75">
      <c r="B986" s="238"/>
      <c r="H986" s="155"/>
      <c r="I986" s="239"/>
      <c r="L986" s="240"/>
      <c r="M986" s="241"/>
      <c r="N986" s="178"/>
      <c r="O986" s="242"/>
      <c r="P986" s="243"/>
    </row>
    <row r="987" spans="2:16" ht="12.75">
      <c r="B987" s="238"/>
      <c r="H987" s="155"/>
      <c r="I987" s="239"/>
      <c r="L987" s="240"/>
      <c r="M987" s="241"/>
      <c r="N987" s="178"/>
      <c r="O987" s="242"/>
      <c r="P987" s="243"/>
    </row>
    <row r="988" spans="2:16" ht="12.75">
      <c r="B988" s="238"/>
      <c r="H988" s="155"/>
      <c r="I988" s="239"/>
      <c r="L988" s="240"/>
      <c r="M988" s="241"/>
      <c r="N988" s="178"/>
      <c r="O988" s="242"/>
      <c r="P988" s="243"/>
    </row>
    <row r="989" spans="2:16" ht="12.75">
      <c r="B989" s="238"/>
      <c r="H989" s="155"/>
      <c r="I989" s="239"/>
      <c r="L989" s="240"/>
      <c r="M989" s="241"/>
      <c r="N989" s="178"/>
      <c r="O989" s="242"/>
      <c r="P989" s="243"/>
    </row>
    <row r="990" spans="2:16" ht="12.75">
      <c r="B990" s="238"/>
      <c r="H990" s="155"/>
      <c r="I990" s="239"/>
      <c r="L990" s="240"/>
      <c r="M990" s="241"/>
      <c r="N990" s="178"/>
      <c r="O990" s="242"/>
      <c r="P990" s="243"/>
    </row>
    <row r="991" spans="2:16" ht="12.75">
      <c r="B991" s="238"/>
      <c r="H991" s="155"/>
      <c r="I991" s="239"/>
      <c r="L991" s="240"/>
      <c r="M991" s="241"/>
      <c r="N991" s="178"/>
      <c r="O991" s="242"/>
      <c r="P991" s="243"/>
    </row>
    <row r="992" spans="2:16" ht="12.75">
      <c r="B992" s="238"/>
      <c r="H992" s="155"/>
      <c r="I992" s="239"/>
      <c r="L992" s="240"/>
      <c r="M992" s="241"/>
      <c r="N992" s="178"/>
      <c r="O992" s="242"/>
      <c r="P992" s="243"/>
    </row>
    <row r="993" spans="2:16" ht="12.75">
      <c r="B993" s="238"/>
      <c r="H993" s="155"/>
      <c r="I993" s="239"/>
      <c r="L993" s="240"/>
      <c r="M993" s="241"/>
      <c r="N993" s="178"/>
      <c r="O993" s="242"/>
      <c r="P993" s="243"/>
    </row>
    <row r="994" spans="2:16" ht="12.75">
      <c r="B994" s="238"/>
      <c r="H994" s="155"/>
      <c r="I994" s="239"/>
      <c r="L994" s="240"/>
      <c r="M994" s="241"/>
      <c r="N994" s="178"/>
      <c r="O994" s="242"/>
      <c r="P994" s="243"/>
    </row>
    <row r="995" spans="2:16" ht="12.75">
      <c r="B995" s="238"/>
      <c r="H995" s="155"/>
      <c r="I995" s="239"/>
      <c r="L995" s="240"/>
      <c r="M995" s="241"/>
      <c r="N995" s="178"/>
      <c r="O995" s="242"/>
      <c r="P995" s="243"/>
    </row>
    <row r="996" spans="2:16" ht="12.75">
      <c r="B996" s="238"/>
      <c r="H996" s="155"/>
      <c r="I996" s="239"/>
      <c r="L996" s="240"/>
      <c r="M996" s="241"/>
      <c r="N996" s="178"/>
      <c r="O996" s="242"/>
      <c r="P996" s="243"/>
    </row>
    <row r="997" spans="2:16" ht="12.75">
      <c r="B997" s="238"/>
      <c r="H997" s="155"/>
      <c r="I997" s="239"/>
      <c r="L997" s="240"/>
      <c r="M997" s="241"/>
      <c r="N997" s="178"/>
      <c r="O997" s="242"/>
      <c r="P997" s="243"/>
    </row>
    <row r="998" spans="2:16" ht="12.75">
      <c r="B998" s="238"/>
      <c r="H998" s="155"/>
      <c r="I998" s="239"/>
      <c r="L998" s="240"/>
      <c r="M998" s="241"/>
      <c r="N998" s="178"/>
      <c r="O998" s="242"/>
      <c r="P998" s="243"/>
    </row>
    <row r="999" spans="2:16" ht="12.75">
      <c r="B999" s="238"/>
      <c r="H999" s="155"/>
      <c r="I999" s="239"/>
      <c r="L999" s="240"/>
      <c r="M999" s="241"/>
      <c r="N999" s="178"/>
      <c r="O999" s="242"/>
      <c r="P999" s="243"/>
    </row>
    <row r="1000" spans="2:16" ht="12.75">
      <c r="B1000" s="238"/>
      <c r="H1000" s="155"/>
      <c r="I1000" s="239"/>
      <c r="L1000" s="240"/>
      <c r="M1000" s="241"/>
      <c r="N1000" s="178"/>
      <c r="O1000" s="242"/>
      <c r="P1000" s="243"/>
    </row>
    <row r="1001" spans="2:16" ht="12.75">
      <c r="B1001" s="238"/>
      <c r="H1001" s="155"/>
      <c r="I1001" s="239"/>
      <c r="L1001" s="240"/>
      <c r="M1001" s="241"/>
      <c r="N1001" s="178"/>
      <c r="O1001" s="242"/>
      <c r="P1001" s="243"/>
    </row>
    <row r="1002" spans="2:16" ht="12.75">
      <c r="B1002" s="238"/>
      <c r="H1002" s="155"/>
      <c r="I1002" s="239"/>
      <c r="L1002" s="240"/>
      <c r="M1002" s="241"/>
      <c r="N1002" s="178"/>
      <c r="O1002" s="242"/>
      <c r="P1002" s="243"/>
    </row>
    <row r="1003" spans="2:16" ht="12.75">
      <c r="B1003" s="238"/>
      <c r="H1003" s="155"/>
      <c r="I1003" s="239"/>
      <c r="L1003" s="240"/>
      <c r="M1003" s="241"/>
      <c r="N1003" s="178"/>
      <c r="O1003" s="242"/>
      <c r="P1003" s="243"/>
    </row>
    <row r="1004" spans="2:16" ht="12.75">
      <c r="B1004" s="238"/>
      <c r="H1004" s="155"/>
      <c r="I1004" s="239"/>
      <c r="L1004" s="240"/>
      <c r="M1004" s="241"/>
      <c r="N1004" s="178"/>
      <c r="O1004" s="242"/>
      <c r="P1004" s="243"/>
    </row>
    <row r="1005" spans="2:16" ht="12.75">
      <c r="B1005" s="238"/>
      <c r="H1005" s="155"/>
      <c r="I1005" s="239"/>
      <c r="L1005" s="240"/>
      <c r="M1005" s="241"/>
      <c r="N1005" s="178"/>
      <c r="O1005" s="242"/>
      <c r="P1005" s="243"/>
    </row>
    <row r="1006" spans="2:16" ht="12.75">
      <c r="B1006" s="238"/>
      <c r="H1006" s="155"/>
      <c r="I1006" s="239"/>
      <c r="L1006" s="240"/>
      <c r="M1006" s="241"/>
      <c r="N1006" s="178"/>
      <c r="O1006" s="242"/>
      <c r="P1006" s="243"/>
    </row>
    <row r="1007" spans="2:16" ht="12.75">
      <c r="B1007" s="238"/>
      <c r="H1007" s="155"/>
      <c r="I1007" s="239"/>
      <c r="L1007" s="240"/>
      <c r="M1007" s="241"/>
      <c r="N1007" s="178"/>
      <c r="O1007" s="242"/>
      <c r="P1007" s="243"/>
    </row>
    <row r="1008" spans="2:16" ht="12.75">
      <c r="B1008" s="238"/>
      <c r="H1008" s="155"/>
      <c r="I1008" s="239"/>
      <c r="L1008" s="240"/>
      <c r="M1008" s="241"/>
      <c r="N1008" s="178"/>
      <c r="O1008" s="242"/>
      <c r="P1008" s="243"/>
    </row>
    <row r="1009" spans="2:16" ht="12.75">
      <c r="B1009" s="238"/>
      <c r="H1009" s="155"/>
      <c r="I1009" s="239"/>
      <c r="L1009" s="240"/>
      <c r="M1009" s="241"/>
      <c r="N1009" s="178"/>
      <c r="O1009" s="242"/>
      <c r="P1009" s="243"/>
    </row>
    <row r="1010" spans="2:16" ht="12.75">
      <c r="B1010" s="238"/>
      <c r="H1010" s="155"/>
      <c r="I1010" s="239"/>
      <c r="L1010" s="240"/>
      <c r="M1010" s="241"/>
      <c r="N1010" s="178"/>
      <c r="O1010" s="242"/>
      <c r="P1010" s="243"/>
    </row>
    <row r="1011" spans="2:16" ht="12.75">
      <c r="B1011" s="238"/>
      <c r="H1011" s="155"/>
      <c r="I1011" s="239"/>
      <c r="L1011" s="240"/>
      <c r="M1011" s="241"/>
      <c r="N1011" s="178"/>
      <c r="O1011" s="242"/>
      <c r="P1011" s="243"/>
    </row>
  </sheetData>
  <autoFilter ref="A1:P298"/>
  <mergeCells count="3">
    <mergeCell ref="L1:P1"/>
    <mergeCell ref="B147:H147"/>
    <mergeCell ref="B182:G18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83"/>
  <sheetViews>
    <sheetView tabSelected="1" topLeftCell="A160" workbookViewId="0">
      <selection activeCell="J5" sqref="J5"/>
    </sheetView>
  </sheetViews>
  <sheetFormatPr defaultColWidth="12.5703125" defaultRowHeight="15.75" customHeight="1"/>
  <cols>
    <col min="1" max="1" width="5.7109375" customWidth="1"/>
    <col min="2" max="2" width="54.42578125" customWidth="1"/>
    <col min="3" max="3" width="6.42578125" customWidth="1"/>
    <col min="4" max="4" width="12.85546875" customWidth="1"/>
    <col min="5" max="5" width="8.5703125" customWidth="1"/>
    <col min="6" max="6" width="8.28515625" customWidth="1"/>
    <col min="7" max="7" width="11.42578125" customWidth="1"/>
    <col min="8" max="8" width="5.5703125" customWidth="1"/>
    <col min="9" max="9" width="6" customWidth="1"/>
  </cols>
  <sheetData>
    <row r="1" spans="1:9" s="252" customFormat="1" ht="15.75" customHeight="1">
      <c r="A1" s="263"/>
      <c r="B1" s="259" t="s">
        <v>377</v>
      </c>
      <c r="C1" s="259"/>
      <c r="D1" s="259"/>
      <c r="E1" s="259"/>
      <c r="F1" s="259"/>
      <c r="G1" s="259"/>
      <c r="H1" s="259"/>
      <c r="I1" s="263"/>
    </row>
    <row r="2" spans="1:9" s="252" customFormat="1" ht="15.75" customHeight="1">
      <c r="A2" s="263"/>
      <c r="B2" s="260" t="s">
        <v>378</v>
      </c>
      <c r="C2" s="260"/>
      <c r="D2" s="260"/>
      <c r="E2" s="260"/>
      <c r="F2" s="260"/>
      <c r="G2" s="260"/>
      <c r="H2" s="260"/>
      <c r="I2" s="263"/>
    </row>
    <row r="3" spans="1:9" s="252" customFormat="1" ht="15.75" customHeight="1">
      <c r="A3" s="263"/>
      <c r="B3" s="261" t="s">
        <v>379</v>
      </c>
      <c r="C3" s="261"/>
      <c r="D3" s="261"/>
      <c r="E3" s="261"/>
      <c r="F3" s="262"/>
      <c r="G3" s="262"/>
      <c r="H3" s="262"/>
      <c r="I3" s="263"/>
    </row>
    <row r="4" spans="1:9" s="252" customFormat="1" ht="15.75" customHeight="1">
      <c r="A4" s="263"/>
      <c r="B4" s="263"/>
      <c r="C4" s="263"/>
      <c r="D4" s="263"/>
      <c r="E4" s="263"/>
      <c r="F4" s="263"/>
      <c r="G4" s="263"/>
      <c r="H4" s="263"/>
      <c r="I4" s="263"/>
    </row>
    <row r="5" spans="1:9" ht="42" customHeight="1">
      <c r="A5" s="264" t="s">
        <v>3</v>
      </c>
      <c r="B5" s="265" t="s">
        <v>4</v>
      </c>
      <c r="C5" s="266" t="s">
        <v>5</v>
      </c>
      <c r="D5" s="267" t="s">
        <v>6</v>
      </c>
      <c r="E5" s="268" t="s">
        <v>7</v>
      </c>
      <c r="F5" s="269" t="s">
        <v>8</v>
      </c>
      <c r="G5" s="269" t="s">
        <v>9</v>
      </c>
      <c r="H5" s="269" t="s">
        <v>10</v>
      </c>
      <c r="I5" s="270" t="s">
        <v>11</v>
      </c>
    </row>
    <row r="6" spans="1:9" ht="15.95" customHeight="1">
      <c r="A6" s="271">
        <v>1</v>
      </c>
      <c r="B6" s="272" t="s">
        <v>19</v>
      </c>
      <c r="C6" s="273" t="s">
        <v>20</v>
      </c>
      <c r="D6" s="264" t="s">
        <v>21</v>
      </c>
      <c r="E6" s="274">
        <v>46082</v>
      </c>
      <c r="F6" s="275">
        <v>66.849999999999994</v>
      </c>
      <c r="G6" s="276">
        <f t="shared" ref="G6:G7" si="0">F6*H6</f>
        <v>200.54999999999998</v>
      </c>
      <c r="H6" s="275">
        <v>3</v>
      </c>
      <c r="I6" s="277">
        <v>24</v>
      </c>
    </row>
    <row r="7" spans="1:9" ht="15.95" customHeight="1">
      <c r="A7" s="271">
        <v>2</v>
      </c>
      <c r="B7" s="278" t="s">
        <v>22</v>
      </c>
      <c r="C7" s="279" t="s">
        <v>23</v>
      </c>
      <c r="D7" s="280" t="s">
        <v>24</v>
      </c>
      <c r="E7" s="274">
        <v>46143</v>
      </c>
      <c r="F7" s="275">
        <v>25.44</v>
      </c>
      <c r="G7" s="276">
        <f t="shared" si="0"/>
        <v>101.76</v>
      </c>
      <c r="H7" s="275">
        <v>4</v>
      </c>
      <c r="I7" s="277"/>
    </row>
    <row r="8" spans="1:9" ht="15.95" customHeight="1">
      <c r="A8" s="271">
        <v>3</v>
      </c>
      <c r="B8" s="278" t="s">
        <v>22</v>
      </c>
      <c r="C8" s="279" t="s">
        <v>23</v>
      </c>
      <c r="D8" s="280" t="s">
        <v>25</v>
      </c>
      <c r="E8" s="281">
        <v>46539</v>
      </c>
      <c r="F8" s="275">
        <v>42.18</v>
      </c>
      <c r="G8" s="276">
        <f>F8*H8-0.02</f>
        <v>1265.3800000000001</v>
      </c>
      <c r="H8" s="275">
        <v>30</v>
      </c>
      <c r="I8" s="277"/>
    </row>
    <row r="9" spans="1:9" ht="15.95" customHeight="1">
      <c r="A9" s="271">
        <v>4</v>
      </c>
      <c r="B9" s="278" t="s">
        <v>22</v>
      </c>
      <c r="C9" s="279" t="s">
        <v>23</v>
      </c>
      <c r="D9" s="280" t="s">
        <v>26</v>
      </c>
      <c r="E9" s="274">
        <v>46447</v>
      </c>
      <c r="F9" s="275">
        <v>31.45</v>
      </c>
      <c r="G9" s="276">
        <f>F9*H9-0.05</f>
        <v>628.95000000000005</v>
      </c>
      <c r="H9" s="275">
        <v>20</v>
      </c>
      <c r="I9" s="277"/>
    </row>
    <row r="10" spans="1:9" ht="15.95" customHeight="1">
      <c r="A10" s="271">
        <v>5</v>
      </c>
      <c r="B10" s="278" t="s">
        <v>27</v>
      </c>
      <c r="C10" s="279" t="s">
        <v>28</v>
      </c>
      <c r="D10" s="280" t="s">
        <v>29</v>
      </c>
      <c r="E10" s="281">
        <v>46023</v>
      </c>
      <c r="F10" s="275">
        <v>32.185000000000002</v>
      </c>
      <c r="G10" s="276">
        <f t="shared" ref="G10:G13" si="1">F10*H10</f>
        <v>193.11</v>
      </c>
      <c r="H10" s="275">
        <v>6</v>
      </c>
      <c r="I10" s="277">
        <v>60</v>
      </c>
    </row>
    <row r="11" spans="1:9" ht="15.95" customHeight="1">
      <c r="A11" s="271">
        <v>6</v>
      </c>
      <c r="B11" s="278" t="s">
        <v>30</v>
      </c>
      <c r="C11" s="279" t="s">
        <v>28</v>
      </c>
      <c r="D11" s="280" t="s">
        <v>31</v>
      </c>
      <c r="E11" s="281">
        <v>45992</v>
      </c>
      <c r="F11" s="275">
        <v>63.58</v>
      </c>
      <c r="G11" s="276">
        <f t="shared" si="1"/>
        <v>254.32</v>
      </c>
      <c r="H11" s="275">
        <v>4</v>
      </c>
      <c r="I11" s="277">
        <v>193</v>
      </c>
    </row>
    <row r="12" spans="1:9" ht="15.95" customHeight="1">
      <c r="A12" s="271">
        <v>7</v>
      </c>
      <c r="B12" s="278" t="s">
        <v>32</v>
      </c>
      <c r="C12" s="279" t="s">
        <v>20</v>
      </c>
      <c r="D12" s="280" t="s">
        <v>33</v>
      </c>
      <c r="E12" s="274">
        <v>46266</v>
      </c>
      <c r="F12" s="275">
        <v>46.16</v>
      </c>
      <c r="G12" s="276">
        <f t="shared" si="1"/>
        <v>369.28</v>
      </c>
      <c r="H12" s="275">
        <v>8</v>
      </c>
      <c r="I12" s="277">
        <v>201</v>
      </c>
    </row>
    <row r="13" spans="1:9" ht="15.95" customHeight="1">
      <c r="A13" s="271">
        <v>8</v>
      </c>
      <c r="B13" s="278" t="s">
        <v>34</v>
      </c>
      <c r="C13" s="279" t="s">
        <v>23</v>
      </c>
      <c r="D13" s="280" t="s">
        <v>35</v>
      </c>
      <c r="E13" s="274">
        <v>46692</v>
      </c>
      <c r="F13" s="276">
        <v>13.942</v>
      </c>
      <c r="G13" s="276">
        <f t="shared" si="1"/>
        <v>13.942</v>
      </c>
      <c r="H13" s="275">
        <v>1</v>
      </c>
      <c r="I13" s="277"/>
    </row>
    <row r="14" spans="1:9" ht="15.95" customHeight="1">
      <c r="A14" s="271">
        <v>9</v>
      </c>
      <c r="B14" s="278" t="s">
        <v>36</v>
      </c>
      <c r="C14" s="279" t="s">
        <v>20</v>
      </c>
      <c r="D14" s="280" t="s">
        <v>37</v>
      </c>
      <c r="E14" s="274">
        <v>46600</v>
      </c>
      <c r="F14" s="276">
        <v>27.55</v>
      </c>
      <c r="G14" s="276">
        <f>F14*H14+0.04</f>
        <v>413.29</v>
      </c>
      <c r="H14" s="275">
        <v>15</v>
      </c>
      <c r="I14" s="277">
        <v>150</v>
      </c>
    </row>
    <row r="15" spans="1:9" ht="15.95" customHeight="1">
      <c r="A15" s="271">
        <v>10</v>
      </c>
      <c r="B15" s="278" t="s">
        <v>38</v>
      </c>
      <c r="C15" s="279" t="s">
        <v>20</v>
      </c>
      <c r="D15" s="280" t="s">
        <v>29</v>
      </c>
      <c r="E15" s="274">
        <v>46784</v>
      </c>
      <c r="F15" s="276">
        <v>26.39</v>
      </c>
      <c r="G15" s="276">
        <f>F15*H15</f>
        <v>5278</v>
      </c>
      <c r="H15" s="275">
        <v>200</v>
      </c>
      <c r="I15" s="277"/>
    </row>
    <row r="16" spans="1:9" ht="15.95" customHeight="1">
      <c r="A16" s="271">
        <v>11</v>
      </c>
      <c r="B16" s="278" t="s">
        <v>39</v>
      </c>
      <c r="C16" s="279" t="s">
        <v>20</v>
      </c>
      <c r="D16" s="280" t="s">
        <v>40</v>
      </c>
      <c r="E16" s="281">
        <v>47665</v>
      </c>
      <c r="F16" s="275">
        <v>152.94999999999999</v>
      </c>
      <c r="G16" s="276">
        <f>F16*H16-0.06</f>
        <v>2294.19</v>
      </c>
      <c r="H16" s="275">
        <v>15</v>
      </c>
      <c r="I16" s="277">
        <v>298</v>
      </c>
    </row>
    <row r="17" spans="1:9" ht="15.95" customHeight="1">
      <c r="A17" s="271">
        <v>12</v>
      </c>
      <c r="B17" s="278" t="s">
        <v>41</v>
      </c>
      <c r="C17" s="279" t="s">
        <v>20</v>
      </c>
      <c r="D17" s="280" t="s">
        <v>37</v>
      </c>
      <c r="E17" s="281">
        <v>47665</v>
      </c>
      <c r="F17" s="275">
        <v>185.31</v>
      </c>
      <c r="G17" s="276">
        <f>F17*H17+0.07</f>
        <v>3706.27</v>
      </c>
      <c r="H17" s="275">
        <v>20</v>
      </c>
      <c r="I17" s="277">
        <v>200</v>
      </c>
    </row>
    <row r="18" spans="1:9" ht="15.95" customHeight="1">
      <c r="A18" s="271">
        <v>13</v>
      </c>
      <c r="B18" s="278" t="s">
        <v>42</v>
      </c>
      <c r="C18" s="279" t="s">
        <v>43</v>
      </c>
      <c r="D18" s="280" t="s">
        <v>44</v>
      </c>
      <c r="E18" s="281">
        <v>45962</v>
      </c>
      <c r="F18" s="275">
        <v>19.53</v>
      </c>
      <c r="G18" s="275">
        <f t="shared" ref="G18:G24" si="2">F18*H18</f>
        <v>39.06</v>
      </c>
      <c r="H18" s="275">
        <v>2</v>
      </c>
      <c r="I18" s="277"/>
    </row>
    <row r="19" spans="1:9" ht="15.95" customHeight="1">
      <c r="A19" s="271">
        <v>14</v>
      </c>
      <c r="B19" s="278" t="s">
        <v>42</v>
      </c>
      <c r="C19" s="279" t="s">
        <v>43</v>
      </c>
      <c r="D19" s="280" t="s">
        <v>44</v>
      </c>
      <c r="E19" s="281">
        <v>45962</v>
      </c>
      <c r="F19" s="275">
        <v>19.53</v>
      </c>
      <c r="G19" s="275">
        <f t="shared" si="2"/>
        <v>19.53</v>
      </c>
      <c r="H19" s="275">
        <v>1</v>
      </c>
      <c r="I19" s="277"/>
    </row>
    <row r="20" spans="1:9" ht="15.95" customHeight="1">
      <c r="A20" s="271">
        <v>15</v>
      </c>
      <c r="B20" s="282" t="s">
        <v>45</v>
      </c>
      <c r="C20" s="283" t="s">
        <v>43</v>
      </c>
      <c r="D20" s="280" t="s">
        <v>44</v>
      </c>
      <c r="E20" s="274">
        <v>46447</v>
      </c>
      <c r="F20" s="276">
        <v>22</v>
      </c>
      <c r="G20" s="276">
        <f t="shared" si="2"/>
        <v>66</v>
      </c>
      <c r="H20" s="275">
        <v>3</v>
      </c>
      <c r="I20" s="277"/>
    </row>
    <row r="21" spans="1:9" ht="15.95" customHeight="1">
      <c r="A21" s="271">
        <v>16</v>
      </c>
      <c r="B21" s="282" t="s">
        <v>45</v>
      </c>
      <c r="C21" s="283" t="s">
        <v>43</v>
      </c>
      <c r="D21" s="280" t="s">
        <v>44</v>
      </c>
      <c r="E21" s="274">
        <v>46447</v>
      </c>
      <c r="F21" s="276">
        <v>22</v>
      </c>
      <c r="G21" s="276">
        <f t="shared" si="2"/>
        <v>22</v>
      </c>
      <c r="H21" s="275">
        <v>1</v>
      </c>
      <c r="I21" s="277"/>
    </row>
    <row r="22" spans="1:9" ht="15.95" customHeight="1">
      <c r="A22" s="271">
        <v>17</v>
      </c>
      <c r="B22" s="284" t="s">
        <v>46</v>
      </c>
      <c r="C22" s="283" t="s">
        <v>47</v>
      </c>
      <c r="D22" s="280" t="s">
        <v>48</v>
      </c>
      <c r="E22" s="274">
        <v>47119</v>
      </c>
      <c r="F22" s="275">
        <v>7.5330000000000004</v>
      </c>
      <c r="G22" s="276">
        <f t="shared" si="2"/>
        <v>150.66</v>
      </c>
      <c r="H22" s="275">
        <v>20</v>
      </c>
      <c r="I22" s="277"/>
    </row>
    <row r="23" spans="1:9" ht="15.95" customHeight="1">
      <c r="A23" s="271">
        <v>18</v>
      </c>
      <c r="B23" s="284" t="s">
        <v>49</v>
      </c>
      <c r="C23" s="283" t="s">
        <v>47</v>
      </c>
      <c r="D23" s="280" t="s">
        <v>37</v>
      </c>
      <c r="E23" s="274">
        <v>47484</v>
      </c>
      <c r="F23" s="275">
        <v>70.14</v>
      </c>
      <c r="G23" s="276">
        <f t="shared" si="2"/>
        <v>210.42000000000002</v>
      </c>
      <c r="H23" s="275">
        <v>3</v>
      </c>
      <c r="I23" s="277">
        <v>30</v>
      </c>
    </row>
    <row r="24" spans="1:9" ht="15.95" customHeight="1">
      <c r="A24" s="271">
        <v>19</v>
      </c>
      <c r="B24" s="278" t="s">
        <v>50</v>
      </c>
      <c r="C24" s="279" t="s">
        <v>20</v>
      </c>
      <c r="D24" s="280" t="s">
        <v>51</v>
      </c>
      <c r="E24" s="274">
        <v>46447</v>
      </c>
      <c r="F24" s="275">
        <v>17.3</v>
      </c>
      <c r="G24" s="276">
        <f t="shared" si="2"/>
        <v>2491.2000000000003</v>
      </c>
      <c r="H24" s="275">
        <v>144</v>
      </c>
      <c r="I24" s="277">
        <v>719</v>
      </c>
    </row>
    <row r="25" spans="1:9" ht="15.95" customHeight="1">
      <c r="A25" s="271">
        <v>20</v>
      </c>
      <c r="B25" s="278" t="s">
        <v>52</v>
      </c>
      <c r="C25" s="279" t="s">
        <v>20</v>
      </c>
      <c r="D25" s="280" t="s">
        <v>53</v>
      </c>
      <c r="E25" s="274">
        <v>46419</v>
      </c>
      <c r="F25" s="275">
        <v>21.914000000000001</v>
      </c>
      <c r="G25" s="276">
        <f t="shared" ref="G25:G26" si="3">F25*H25-0.01</f>
        <v>43.818000000000005</v>
      </c>
      <c r="H25" s="275">
        <v>2</v>
      </c>
      <c r="I25" s="277">
        <v>20</v>
      </c>
    </row>
    <row r="26" spans="1:9" ht="15.95" customHeight="1">
      <c r="A26" s="271">
        <v>21</v>
      </c>
      <c r="B26" s="278" t="s">
        <v>52</v>
      </c>
      <c r="C26" s="279" t="s">
        <v>20</v>
      </c>
      <c r="D26" s="280" t="s">
        <v>53</v>
      </c>
      <c r="E26" s="274">
        <v>46419</v>
      </c>
      <c r="F26" s="275">
        <v>21.914000000000001</v>
      </c>
      <c r="G26" s="276">
        <f t="shared" si="3"/>
        <v>87.646000000000001</v>
      </c>
      <c r="H26" s="275">
        <v>4</v>
      </c>
      <c r="I26" s="277">
        <v>38</v>
      </c>
    </row>
    <row r="27" spans="1:9" ht="15.95" customHeight="1">
      <c r="A27" s="271">
        <v>22</v>
      </c>
      <c r="B27" s="278" t="s">
        <v>54</v>
      </c>
      <c r="C27" s="279" t="s">
        <v>20</v>
      </c>
      <c r="D27" s="280" t="s">
        <v>53</v>
      </c>
      <c r="E27" s="274">
        <v>46722</v>
      </c>
      <c r="F27" s="275">
        <v>27.07</v>
      </c>
      <c r="G27" s="276">
        <f t="shared" ref="G27:G30" si="4">F27*H27</f>
        <v>270.7</v>
      </c>
      <c r="H27" s="275">
        <v>10</v>
      </c>
      <c r="I27" s="277">
        <v>100</v>
      </c>
    </row>
    <row r="28" spans="1:9" ht="15.95" customHeight="1">
      <c r="A28" s="271">
        <v>23</v>
      </c>
      <c r="B28" s="278" t="s">
        <v>55</v>
      </c>
      <c r="C28" s="279" t="s">
        <v>28</v>
      </c>
      <c r="D28" s="280" t="s">
        <v>56</v>
      </c>
      <c r="E28" s="274">
        <v>46054</v>
      </c>
      <c r="F28" s="275">
        <v>21.19</v>
      </c>
      <c r="G28" s="275">
        <f t="shared" si="4"/>
        <v>42.38</v>
      </c>
      <c r="H28" s="275">
        <v>2</v>
      </c>
      <c r="I28" s="277">
        <v>20</v>
      </c>
    </row>
    <row r="29" spans="1:9" ht="15">
      <c r="A29" s="271">
        <v>24</v>
      </c>
      <c r="B29" s="278" t="s">
        <v>380</v>
      </c>
      <c r="C29" s="279" t="s">
        <v>20</v>
      </c>
      <c r="D29" s="280" t="s">
        <v>37</v>
      </c>
      <c r="E29" s="281">
        <v>47058</v>
      </c>
      <c r="F29" s="276">
        <v>607.61</v>
      </c>
      <c r="G29" s="275">
        <f t="shared" si="4"/>
        <v>607.61</v>
      </c>
      <c r="H29" s="275">
        <v>1</v>
      </c>
      <c r="I29" s="277">
        <v>10</v>
      </c>
    </row>
    <row r="30" spans="1:9" ht="15" customHeight="1">
      <c r="A30" s="271">
        <v>25</v>
      </c>
      <c r="B30" s="278" t="s">
        <v>58</v>
      </c>
      <c r="C30" s="279" t="s">
        <v>20</v>
      </c>
      <c r="D30" s="280" t="s">
        <v>59</v>
      </c>
      <c r="E30" s="281">
        <v>45962</v>
      </c>
      <c r="F30" s="276">
        <v>373.4</v>
      </c>
      <c r="G30" s="276">
        <f t="shared" si="4"/>
        <v>0</v>
      </c>
      <c r="H30" s="275">
        <v>0</v>
      </c>
      <c r="I30" s="277">
        <v>0</v>
      </c>
    </row>
    <row r="31" spans="1:9" ht="16.5" customHeight="1">
      <c r="A31" s="271">
        <v>26</v>
      </c>
      <c r="B31" s="278" t="s">
        <v>60</v>
      </c>
      <c r="C31" s="279" t="s">
        <v>20</v>
      </c>
      <c r="D31" s="280" t="s">
        <v>61</v>
      </c>
      <c r="E31" s="274">
        <v>46935</v>
      </c>
      <c r="F31" s="276">
        <v>71.239999999999995</v>
      </c>
      <c r="G31" s="276">
        <f>F31*H31+0.01</f>
        <v>712.41</v>
      </c>
      <c r="H31" s="275">
        <v>10</v>
      </c>
      <c r="I31" s="285">
        <v>50</v>
      </c>
    </row>
    <row r="32" spans="1:9" ht="15">
      <c r="A32" s="271">
        <v>28</v>
      </c>
      <c r="B32" s="278" t="s">
        <v>63</v>
      </c>
      <c r="C32" s="279" t="s">
        <v>20</v>
      </c>
      <c r="D32" s="280" t="s">
        <v>64</v>
      </c>
      <c r="E32" s="274">
        <v>46023</v>
      </c>
      <c r="F32" s="275">
        <v>37.31</v>
      </c>
      <c r="G32" s="276">
        <f t="shared" ref="G32:G33" si="5">F32*H32</f>
        <v>37.31</v>
      </c>
      <c r="H32" s="275">
        <v>1</v>
      </c>
      <c r="I32" s="285">
        <v>10</v>
      </c>
    </row>
    <row r="33" spans="1:9" ht="15">
      <c r="A33" s="271">
        <v>29</v>
      </c>
      <c r="B33" s="278" t="s">
        <v>65</v>
      </c>
      <c r="C33" s="279" t="s">
        <v>20</v>
      </c>
      <c r="D33" s="280" t="s">
        <v>64</v>
      </c>
      <c r="E33" s="274">
        <v>46235</v>
      </c>
      <c r="F33" s="275">
        <v>38.840000000000003</v>
      </c>
      <c r="G33" s="276">
        <f t="shared" si="5"/>
        <v>116.52000000000001</v>
      </c>
      <c r="H33" s="275">
        <v>3</v>
      </c>
      <c r="I33" s="277">
        <v>23</v>
      </c>
    </row>
    <row r="34" spans="1:9" ht="15">
      <c r="A34" s="271">
        <v>30</v>
      </c>
      <c r="B34" s="278" t="s">
        <v>66</v>
      </c>
      <c r="C34" s="279" t="s">
        <v>20</v>
      </c>
      <c r="D34" s="280" t="s">
        <v>67</v>
      </c>
      <c r="E34" s="281">
        <v>46966</v>
      </c>
      <c r="F34" s="275">
        <v>106.67</v>
      </c>
      <c r="G34" s="276">
        <f>F34*H34-0.03</f>
        <v>2133.37</v>
      </c>
      <c r="H34" s="275">
        <v>20</v>
      </c>
      <c r="I34" s="277">
        <v>398</v>
      </c>
    </row>
    <row r="35" spans="1:9" ht="15">
      <c r="A35" s="271">
        <v>31</v>
      </c>
      <c r="B35" s="278" t="s">
        <v>68</v>
      </c>
      <c r="C35" s="279" t="s">
        <v>20</v>
      </c>
      <c r="D35" s="280" t="s">
        <v>67</v>
      </c>
      <c r="E35" s="281">
        <v>46082</v>
      </c>
      <c r="F35" s="275">
        <v>37.8673</v>
      </c>
      <c r="G35" s="276">
        <f t="shared" ref="G35:G37" si="6">F35*H35</f>
        <v>416.5403</v>
      </c>
      <c r="H35" s="275">
        <v>11</v>
      </c>
      <c r="I35" s="277">
        <v>217</v>
      </c>
    </row>
    <row r="36" spans="1:9" ht="15">
      <c r="A36" s="271">
        <v>32</v>
      </c>
      <c r="B36" s="272" t="s">
        <v>69</v>
      </c>
      <c r="C36" s="279" t="s">
        <v>20</v>
      </c>
      <c r="D36" s="280" t="s">
        <v>67</v>
      </c>
      <c r="E36" s="281">
        <v>46419</v>
      </c>
      <c r="F36" s="275">
        <v>37.229999999999997</v>
      </c>
      <c r="G36" s="276">
        <f t="shared" si="6"/>
        <v>297.83999999999997</v>
      </c>
      <c r="H36" s="275">
        <v>8</v>
      </c>
      <c r="I36" s="277">
        <v>159</v>
      </c>
    </row>
    <row r="37" spans="1:9" ht="15">
      <c r="A37" s="271">
        <v>33</v>
      </c>
      <c r="B37" s="272" t="s">
        <v>69</v>
      </c>
      <c r="C37" s="279" t="s">
        <v>20</v>
      </c>
      <c r="D37" s="280" t="s">
        <v>67</v>
      </c>
      <c r="E37" s="281">
        <v>46508</v>
      </c>
      <c r="F37" s="286">
        <v>36.549999999999997</v>
      </c>
      <c r="G37" s="276">
        <f t="shared" si="6"/>
        <v>73.099999999999994</v>
      </c>
      <c r="H37" s="275">
        <v>2</v>
      </c>
      <c r="I37" s="277">
        <v>40</v>
      </c>
    </row>
    <row r="38" spans="1:9" ht="15">
      <c r="A38" s="271">
        <v>34</v>
      </c>
      <c r="B38" s="272" t="s">
        <v>69</v>
      </c>
      <c r="C38" s="279" t="s">
        <v>20</v>
      </c>
      <c r="D38" s="280" t="s">
        <v>67</v>
      </c>
      <c r="E38" s="281">
        <v>46874</v>
      </c>
      <c r="F38" s="286">
        <v>67.97</v>
      </c>
      <c r="G38" s="276">
        <f>F38*H38-0.17</f>
        <v>3262.39</v>
      </c>
      <c r="H38" s="275">
        <v>48</v>
      </c>
      <c r="I38" s="277">
        <v>960</v>
      </c>
    </row>
    <row r="39" spans="1:9" ht="15">
      <c r="A39" s="271">
        <v>35</v>
      </c>
      <c r="B39" s="278" t="s">
        <v>70</v>
      </c>
      <c r="C39" s="279" t="s">
        <v>20</v>
      </c>
      <c r="D39" s="280" t="s">
        <v>71</v>
      </c>
      <c r="E39" s="281">
        <v>46997</v>
      </c>
      <c r="F39" s="286">
        <v>54.31</v>
      </c>
      <c r="G39" s="276">
        <f>F39*H39+0.01</f>
        <v>162.94</v>
      </c>
      <c r="H39" s="275">
        <v>3</v>
      </c>
      <c r="I39" s="277">
        <v>150</v>
      </c>
    </row>
    <row r="40" spans="1:9" ht="15.95" customHeight="1">
      <c r="A40" s="271">
        <v>36</v>
      </c>
      <c r="B40" s="278" t="s">
        <v>72</v>
      </c>
      <c r="C40" s="279" t="s">
        <v>23</v>
      </c>
      <c r="D40" s="280" t="s">
        <v>73</v>
      </c>
      <c r="E40" s="281">
        <v>46753</v>
      </c>
      <c r="F40" s="286">
        <v>46.72</v>
      </c>
      <c r="G40" s="276">
        <f>F40*H40-0.06</f>
        <v>700.74</v>
      </c>
      <c r="H40" s="275">
        <v>15</v>
      </c>
      <c r="I40" s="277"/>
    </row>
    <row r="41" spans="1:9" ht="15.95" customHeight="1">
      <c r="A41" s="271">
        <v>37</v>
      </c>
      <c r="B41" s="278" t="s">
        <v>74</v>
      </c>
      <c r="C41" s="279" t="s">
        <v>20</v>
      </c>
      <c r="D41" s="280" t="s">
        <v>37</v>
      </c>
      <c r="E41" s="281">
        <v>47515</v>
      </c>
      <c r="F41" s="286">
        <v>77.09</v>
      </c>
      <c r="G41" s="276">
        <f t="shared" ref="G41:G51" si="7">F41*H41</f>
        <v>77.09</v>
      </c>
      <c r="H41" s="275">
        <v>1</v>
      </c>
      <c r="I41" s="277">
        <v>10</v>
      </c>
    </row>
    <row r="42" spans="1:9" ht="15.95" customHeight="1">
      <c r="A42" s="271">
        <v>38</v>
      </c>
      <c r="B42" s="278" t="s">
        <v>75</v>
      </c>
      <c r="C42" s="279" t="s">
        <v>76</v>
      </c>
      <c r="D42" s="280" t="s">
        <v>77</v>
      </c>
      <c r="E42" s="281">
        <v>46113</v>
      </c>
      <c r="F42" s="286">
        <v>152.881666</v>
      </c>
      <c r="G42" s="276">
        <f t="shared" si="7"/>
        <v>4433.5683140000001</v>
      </c>
      <c r="H42" s="275">
        <v>29</v>
      </c>
      <c r="I42" s="277"/>
    </row>
    <row r="43" spans="1:9" ht="15.95" customHeight="1">
      <c r="A43" s="271">
        <v>39</v>
      </c>
      <c r="B43" s="278" t="s">
        <v>78</v>
      </c>
      <c r="C43" s="279" t="s">
        <v>20</v>
      </c>
      <c r="D43" s="280" t="s">
        <v>79</v>
      </c>
      <c r="E43" s="281">
        <v>46174</v>
      </c>
      <c r="F43" s="275">
        <v>11.3</v>
      </c>
      <c r="G43" s="276">
        <f t="shared" si="7"/>
        <v>45.2</v>
      </c>
      <c r="H43" s="275">
        <v>4</v>
      </c>
      <c r="I43" s="277">
        <v>40</v>
      </c>
    </row>
    <row r="44" spans="1:9" ht="15.95" customHeight="1">
      <c r="A44" s="271">
        <v>40</v>
      </c>
      <c r="B44" s="278" t="s">
        <v>80</v>
      </c>
      <c r="C44" s="279" t="s">
        <v>20</v>
      </c>
      <c r="D44" s="280" t="s">
        <v>81</v>
      </c>
      <c r="E44" s="281">
        <v>46692</v>
      </c>
      <c r="F44" s="275">
        <v>25.3</v>
      </c>
      <c r="G44" s="276">
        <f t="shared" si="7"/>
        <v>177.1</v>
      </c>
      <c r="H44" s="275">
        <v>7</v>
      </c>
      <c r="I44" s="277">
        <v>61</v>
      </c>
    </row>
    <row r="45" spans="1:9" ht="15.95" customHeight="1">
      <c r="A45" s="271">
        <v>41</v>
      </c>
      <c r="B45" s="278" t="s">
        <v>80</v>
      </c>
      <c r="C45" s="279" t="s">
        <v>20</v>
      </c>
      <c r="D45" s="280" t="s">
        <v>81</v>
      </c>
      <c r="E45" s="281">
        <v>46692</v>
      </c>
      <c r="F45" s="275">
        <v>25.3</v>
      </c>
      <c r="G45" s="276">
        <f t="shared" si="7"/>
        <v>50.6</v>
      </c>
      <c r="H45" s="275">
        <v>2</v>
      </c>
      <c r="I45" s="277">
        <v>11</v>
      </c>
    </row>
    <row r="46" spans="1:9" ht="15.95" customHeight="1">
      <c r="A46" s="271">
        <v>42</v>
      </c>
      <c r="B46" s="278" t="s">
        <v>82</v>
      </c>
      <c r="C46" s="279" t="s">
        <v>20</v>
      </c>
      <c r="D46" s="280" t="s">
        <v>81</v>
      </c>
      <c r="E46" s="281">
        <v>47150</v>
      </c>
      <c r="F46" s="275">
        <v>31.02</v>
      </c>
      <c r="G46" s="276">
        <f t="shared" si="7"/>
        <v>961.62</v>
      </c>
      <c r="H46" s="275">
        <v>31</v>
      </c>
      <c r="I46" s="277">
        <v>310</v>
      </c>
    </row>
    <row r="47" spans="1:9" ht="15.95" customHeight="1">
      <c r="A47" s="271">
        <v>43</v>
      </c>
      <c r="B47" s="278" t="s">
        <v>83</v>
      </c>
      <c r="C47" s="279" t="s">
        <v>20</v>
      </c>
      <c r="D47" s="280" t="s">
        <v>84</v>
      </c>
      <c r="E47" s="274">
        <v>46266</v>
      </c>
      <c r="F47" s="275">
        <v>90.63</v>
      </c>
      <c r="G47" s="276">
        <f t="shared" si="7"/>
        <v>271.89</v>
      </c>
      <c r="H47" s="275">
        <v>3</v>
      </c>
      <c r="I47" s="277">
        <v>29</v>
      </c>
    </row>
    <row r="48" spans="1:9" ht="15.95" customHeight="1">
      <c r="A48" s="271">
        <v>44</v>
      </c>
      <c r="B48" s="278" t="s">
        <v>83</v>
      </c>
      <c r="C48" s="279" t="s">
        <v>20</v>
      </c>
      <c r="D48" s="280" t="s">
        <v>84</v>
      </c>
      <c r="E48" s="274">
        <v>46266</v>
      </c>
      <c r="F48" s="275">
        <v>90.63</v>
      </c>
      <c r="G48" s="276">
        <f t="shared" si="7"/>
        <v>90.63</v>
      </c>
      <c r="H48" s="275">
        <v>1</v>
      </c>
      <c r="I48" s="277">
        <v>4</v>
      </c>
    </row>
    <row r="49" spans="1:9" ht="15.95" customHeight="1">
      <c r="A49" s="271">
        <v>46</v>
      </c>
      <c r="B49" s="278" t="s">
        <v>87</v>
      </c>
      <c r="C49" s="279" t="s">
        <v>20</v>
      </c>
      <c r="D49" s="280" t="s">
        <v>81</v>
      </c>
      <c r="E49" s="274">
        <v>46539</v>
      </c>
      <c r="F49" s="275">
        <v>18.309999999999999</v>
      </c>
      <c r="G49" s="276">
        <f t="shared" si="7"/>
        <v>109.85999999999999</v>
      </c>
      <c r="H49" s="275">
        <v>6</v>
      </c>
      <c r="I49" s="277">
        <v>57</v>
      </c>
    </row>
    <row r="50" spans="1:9" ht="15.95" customHeight="1">
      <c r="A50" s="271">
        <v>47</v>
      </c>
      <c r="B50" s="278" t="s">
        <v>88</v>
      </c>
      <c r="C50" s="279" t="s">
        <v>20</v>
      </c>
      <c r="D50" s="280" t="s">
        <v>81</v>
      </c>
      <c r="E50" s="274">
        <v>46813</v>
      </c>
      <c r="F50" s="275">
        <v>22.34</v>
      </c>
      <c r="G50" s="276">
        <f t="shared" si="7"/>
        <v>446.8</v>
      </c>
      <c r="H50" s="275">
        <v>20</v>
      </c>
      <c r="I50" s="277">
        <v>192</v>
      </c>
    </row>
    <row r="51" spans="1:9" ht="15">
      <c r="A51" s="271">
        <v>48</v>
      </c>
      <c r="B51" s="278" t="s">
        <v>89</v>
      </c>
      <c r="C51" s="279" t="s">
        <v>23</v>
      </c>
      <c r="D51" s="280" t="s">
        <v>90</v>
      </c>
      <c r="E51" s="274">
        <v>46935</v>
      </c>
      <c r="F51" s="275">
        <v>16.274699999999999</v>
      </c>
      <c r="G51" s="276">
        <f t="shared" si="7"/>
        <v>32.549399999999999</v>
      </c>
      <c r="H51" s="275">
        <v>2</v>
      </c>
      <c r="I51" s="277"/>
    </row>
    <row r="52" spans="1:9" ht="15">
      <c r="A52" s="271">
        <v>49</v>
      </c>
      <c r="B52" s="278" t="s">
        <v>91</v>
      </c>
      <c r="C52" s="279" t="s">
        <v>23</v>
      </c>
      <c r="D52" s="280" t="s">
        <v>77</v>
      </c>
      <c r="E52" s="274">
        <v>46935</v>
      </c>
      <c r="F52" s="275">
        <v>16.760000000000002</v>
      </c>
      <c r="G52" s="276">
        <f>F52*H52-0.08</f>
        <v>335.12000000000006</v>
      </c>
      <c r="H52" s="275">
        <v>20</v>
      </c>
      <c r="I52" s="277"/>
    </row>
    <row r="53" spans="1:9" ht="15">
      <c r="A53" s="271">
        <v>50</v>
      </c>
      <c r="B53" s="278" t="s">
        <v>91</v>
      </c>
      <c r="C53" s="279" t="s">
        <v>23</v>
      </c>
      <c r="D53" s="280" t="s">
        <v>77</v>
      </c>
      <c r="E53" s="274">
        <v>46905</v>
      </c>
      <c r="F53" s="275">
        <v>16.760000000000002</v>
      </c>
      <c r="G53" s="276">
        <f>F53*H53-0.04</f>
        <v>167.56000000000003</v>
      </c>
      <c r="H53" s="275">
        <v>10</v>
      </c>
      <c r="I53" s="277"/>
    </row>
    <row r="54" spans="1:9" ht="15">
      <c r="A54" s="271">
        <v>51</v>
      </c>
      <c r="B54" s="278" t="s">
        <v>92</v>
      </c>
      <c r="C54" s="279" t="s">
        <v>20</v>
      </c>
      <c r="D54" s="280" t="s">
        <v>90</v>
      </c>
      <c r="E54" s="274">
        <v>46478</v>
      </c>
      <c r="F54" s="275">
        <v>17.66</v>
      </c>
      <c r="G54" s="276">
        <f t="shared" ref="G54:G57" si="8">F54*H54</f>
        <v>494.48</v>
      </c>
      <c r="H54" s="275">
        <v>28</v>
      </c>
      <c r="I54" s="277"/>
    </row>
    <row r="55" spans="1:9" ht="15">
      <c r="A55" s="271">
        <v>52</v>
      </c>
      <c r="B55" s="278" t="s">
        <v>93</v>
      </c>
      <c r="C55" s="279" t="s">
        <v>20</v>
      </c>
      <c r="D55" s="280" t="s">
        <v>94</v>
      </c>
      <c r="E55" s="281">
        <v>46327</v>
      </c>
      <c r="F55" s="275">
        <v>14.787000000000001</v>
      </c>
      <c r="G55" s="276">
        <f t="shared" si="8"/>
        <v>103.509</v>
      </c>
      <c r="H55" s="275">
        <v>7</v>
      </c>
      <c r="I55" s="277">
        <v>35</v>
      </c>
    </row>
    <row r="56" spans="1:9" ht="15">
      <c r="A56" s="271">
        <v>54</v>
      </c>
      <c r="B56" s="278" t="s">
        <v>95</v>
      </c>
      <c r="C56" s="279" t="s">
        <v>20</v>
      </c>
      <c r="D56" s="280" t="s">
        <v>96</v>
      </c>
      <c r="E56" s="274">
        <v>46357</v>
      </c>
      <c r="F56" s="275">
        <v>16.5</v>
      </c>
      <c r="G56" s="276">
        <f t="shared" si="8"/>
        <v>495</v>
      </c>
      <c r="H56" s="275">
        <v>30</v>
      </c>
      <c r="I56" s="277">
        <v>300</v>
      </c>
    </row>
    <row r="57" spans="1:9" ht="15">
      <c r="A57" s="271">
        <v>55</v>
      </c>
      <c r="B57" s="278" t="s">
        <v>95</v>
      </c>
      <c r="C57" s="279" t="s">
        <v>20</v>
      </c>
      <c r="D57" s="280" t="s">
        <v>96</v>
      </c>
      <c r="E57" s="274">
        <v>46357</v>
      </c>
      <c r="F57" s="275">
        <v>16.5</v>
      </c>
      <c r="G57" s="276">
        <f t="shared" si="8"/>
        <v>49.5</v>
      </c>
      <c r="H57" s="275">
        <v>3</v>
      </c>
      <c r="I57" s="277">
        <v>27</v>
      </c>
    </row>
    <row r="58" spans="1:9" ht="15">
      <c r="A58" s="271">
        <v>56</v>
      </c>
      <c r="B58" s="287" t="s">
        <v>97</v>
      </c>
      <c r="C58" s="279" t="s">
        <v>23</v>
      </c>
      <c r="D58" s="288" t="s">
        <v>98</v>
      </c>
      <c r="E58" s="274">
        <v>46023</v>
      </c>
      <c r="F58" s="276">
        <v>20.48</v>
      </c>
      <c r="G58" s="275">
        <f>F58*H58-0.02</f>
        <v>225.26</v>
      </c>
      <c r="H58" s="275">
        <v>11</v>
      </c>
      <c r="I58" s="277"/>
    </row>
    <row r="59" spans="1:9" ht="15">
      <c r="A59" s="271">
        <v>57</v>
      </c>
      <c r="B59" s="278" t="s">
        <v>97</v>
      </c>
      <c r="C59" s="279" t="s">
        <v>23</v>
      </c>
      <c r="D59" s="280" t="s">
        <v>98</v>
      </c>
      <c r="E59" s="274">
        <v>46508</v>
      </c>
      <c r="F59" s="275">
        <v>11.78</v>
      </c>
      <c r="G59" s="275">
        <f>F59*H59+0.07</f>
        <v>1178.07</v>
      </c>
      <c r="H59" s="275">
        <v>100</v>
      </c>
      <c r="I59" s="277"/>
    </row>
    <row r="60" spans="1:9" ht="15">
      <c r="A60" s="271">
        <v>58</v>
      </c>
      <c r="B60" s="278" t="s">
        <v>99</v>
      </c>
      <c r="C60" s="279" t="s">
        <v>23</v>
      </c>
      <c r="D60" s="280" t="s">
        <v>77</v>
      </c>
      <c r="E60" s="274">
        <v>46054</v>
      </c>
      <c r="F60" s="275">
        <v>69.849999999999994</v>
      </c>
      <c r="G60" s="276">
        <f>F60*H60</f>
        <v>209.54999999999998</v>
      </c>
      <c r="H60" s="275">
        <v>3</v>
      </c>
      <c r="I60" s="277"/>
    </row>
    <row r="61" spans="1:9" ht="30">
      <c r="A61" s="271">
        <v>59</v>
      </c>
      <c r="B61" s="278" t="s">
        <v>100</v>
      </c>
      <c r="C61" s="279" t="s">
        <v>20</v>
      </c>
      <c r="D61" s="280" t="s">
        <v>101</v>
      </c>
      <c r="E61" s="274">
        <v>46569</v>
      </c>
      <c r="F61" s="275">
        <v>77.430000000000007</v>
      </c>
      <c r="G61" s="276">
        <f>F61*H61-0.01</f>
        <v>232.28000000000003</v>
      </c>
      <c r="H61" s="275">
        <v>3</v>
      </c>
      <c r="I61" s="277"/>
    </row>
    <row r="62" spans="1:9" ht="15.75" customHeight="1">
      <c r="A62" s="271">
        <v>60</v>
      </c>
      <c r="B62" s="278" t="s">
        <v>102</v>
      </c>
      <c r="C62" s="279" t="s">
        <v>23</v>
      </c>
      <c r="D62" s="280" t="s">
        <v>103</v>
      </c>
      <c r="E62" s="274">
        <v>46388</v>
      </c>
      <c r="F62" s="275">
        <v>28.37</v>
      </c>
      <c r="G62" s="275">
        <f t="shared" ref="G62:G67" si="9">F62*H62</f>
        <v>170.22</v>
      </c>
      <c r="H62" s="275">
        <v>6</v>
      </c>
      <c r="I62" s="277"/>
    </row>
    <row r="63" spans="1:9" ht="15.95" customHeight="1">
      <c r="A63" s="271">
        <v>61</v>
      </c>
      <c r="B63" s="278" t="s">
        <v>104</v>
      </c>
      <c r="C63" s="279" t="s">
        <v>23</v>
      </c>
      <c r="D63" s="280" t="s">
        <v>98</v>
      </c>
      <c r="E63" s="281">
        <v>46784</v>
      </c>
      <c r="F63" s="276">
        <v>27</v>
      </c>
      <c r="G63" s="276">
        <f t="shared" si="9"/>
        <v>10557</v>
      </c>
      <c r="H63" s="275">
        <v>391</v>
      </c>
      <c r="I63" s="277"/>
    </row>
    <row r="64" spans="1:9" ht="15.95" customHeight="1">
      <c r="A64" s="271">
        <v>63</v>
      </c>
      <c r="B64" s="278" t="s">
        <v>105</v>
      </c>
      <c r="C64" s="279" t="s">
        <v>47</v>
      </c>
      <c r="D64" s="280" t="s">
        <v>84</v>
      </c>
      <c r="E64" s="274">
        <v>46784</v>
      </c>
      <c r="F64" s="276">
        <v>26.96</v>
      </c>
      <c r="G64" s="275">
        <f t="shared" si="9"/>
        <v>26.96</v>
      </c>
      <c r="H64" s="275">
        <v>1</v>
      </c>
      <c r="I64" s="277">
        <v>5</v>
      </c>
    </row>
    <row r="65" spans="1:9" ht="15.95" customHeight="1">
      <c r="A65" s="271">
        <v>64</v>
      </c>
      <c r="B65" s="278" t="s">
        <v>106</v>
      </c>
      <c r="C65" s="279" t="s">
        <v>76</v>
      </c>
      <c r="D65" s="280" t="s">
        <v>77</v>
      </c>
      <c r="E65" s="289">
        <v>46113</v>
      </c>
      <c r="F65" s="286">
        <v>26.364660000000001</v>
      </c>
      <c r="G65" s="276">
        <f t="shared" si="9"/>
        <v>738.21047999999996</v>
      </c>
      <c r="H65" s="275">
        <v>28</v>
      </c>
      <c r="I65" s="277"/>
    </row>
    <row r="66" spans="1:9" ht="15.95" customHeight="1">
      <c r="A66" s="271">
        <v>65</v>
      </c>
      <c r="B66" s="278" t="s">
        <v>107</v>
      </c>
      <c r="C66" s="279" t="s">
        <v>20</v>
      </c>
      <c r="D66" s="280" t="s">
        <v>108</v>
      </c>
      <c r="E66" s="274">
        <v>46327</v>
      </c>
      <c r="F66" s="275">
        <v>16.48</v>
      </c>
      <c r="G66" s="276">
        <f t="shared" si="9"/>
        <v>49.44</v>
      </c>
      <c r="H66" s="275">
        <v>3</v>
      </c>
      <c r="I66" s="277">
        <v>150</v>
      </c>
    </row>
    <row r="67" spans="1:9" ht="15.95" customHeight="1">
      <c r="A67" s="271">
        <v>66</v>
      </c>
      <c r="B67" s="278" t="s">
        <v>109</v>
      </c>
      <c r="C67" s="279" t="s">
        <v>20</v>
      </c>
      <c r="D67" s="280" t="s">
        <v>110</v>
      </c>
      <c r="E67" s="274">
        <v>46357</v>
      </c>
      <c r="F67" s="275">
        <v>45.143000000000001</v>
      </c>
      <c r="G67" s="275">
        <f t="shared" si="9"/>
        <v>180.572</v>
      </c>
      <c r="H67" s="275">
        <v>4</v>
      </c>
      <c r="I67" s="277">
        <v>80</v>
      </c>
    </row>
    <row r="68" spans="1:9" ht="15.95" customHeight="1">
      <c r="A68" s="271">
        <v>67</v>
      </c>
      <c r="B68" s="278" t="s">
        <v>111</v>
      </c>
      <c r="C68" s="279" t="s">
        <v>20</v>
      </c>
      <c r="D68" s="280" t="s">
        <v>37</v>
      </c>
      <c r="E68" s="274">
        <v>46753</v>
      </c>
      <c r="F68" s="276">
        <v>33.729999999999997</v>
      </c>
      <c r="G68" s="275">
        <f>F68*H68-0.04</f>
        <v>337.25999999999993</v>
      </c>
      <c r="H68" s="275">
        <v>10</v>
      </c>
      <c r="I68" s="277">
        <v>100</v>
      </c>
    </row>
    <row r="69" spans="1:9" ht="15.95" customHeight="1">
      <c r="A69" s="271">
        <v>68</v>
      </c>
      <c r="B69" s="278" t="s">
        <v>112</v>
      </c>
      <c r="C69" s="279" t="s">
        <v>20</v>
      </c>
      <c r="D69" s="280" t="s">
        <v>94</v>
      </c>
      <c r="E69" s="274">
        <v>46235</v>
      </c>
      <c r="F69" s="276">
        <v>71.018000000000001</v>
      </c>
      <c r="G69" s="276">
        <f t="shared" ref="G69:G70" si="10">F69*H69-0.01</f>
        <v>355.08000000000004</v>
      </c>
      <c r="H69" s="275">
        <v>5</v>
      </c>
      <c r="I69" s="277">
        <v>25</v>
      </c>
    </row>
    <row r="70" spans="1:9" ht="15.95" customHeight="1">
      <c r="A70" s="271">
        <v>69</v>
      </c>
      <c r="B70" s="278" t="s">
        <v>113</v>
      </c>
      <c r="C70" s="279" t="s">
        <v>20</v>
      </c>
      <c r="D70" s="280" t="s">
        <v>94</v>
      </c>
      <c r="E70" s="274">
        <v>46235</v>
      </c>
      <c r="F70" s="275">
        <v>71.02</v>
      </c>
      <c r="G70" s="276">
        <f t="shared" si="10"/>
        <v>142.03</v>
      </c>
      <c r="H70" s="275">
        <v>2</v>
      </c>
      <c r="I70" s="277">
        <v>6</v>
      </c>
    </row>
    <row r="71" spans="1:9" ht="15.95" customHeight="1">
      <c r="A71" s="271">
        <v>70</v>
      </c>
      <c r="B71" s="272" t="s">
        <v>114</v>
      </c>
      <c r="C71" s="290" t="s">
        <v>23</v>
      </c>
      <c r="D71" s="264" t="s">
        <v>115</v>
      </c>
      <c r="E71" s="291">
        <v>46447</v>
      </c>
      <c r="F71" s="275">
        <v>15.13</v>
      </c>
      <c r="G71" s="276">
        <f t="shared" ref="G71:G103" si="11">F71*H71</f>
        <v>75.650000000000006</v>
      </c>
      <c r="H71" s="275">
        <v>5</v>
      </c>
      <c r="I71" s="292"/>
    </row>
    <row r="72" spans="1:9" ht="15.95" customHeight="1">
      <c r="A72" s="271">
        <v>71</v>
      </c>
      <c r="B72" s="293" t="s">
        <v>116</v>
      </c>
      <c r="C72" s="290"/>
      <c r="D72" s="294"/>
      <c r="E72" s="291">
        <v>46113</v>
      </c>
      <c r="F72" s="276">
        <v>3234.61</v>
      </c>
      <c r="G72" s="276">
        <f t="shared" si="11"/>
        <v>252299.58000000002</v>
      </c>
      <c r="H72" s="275">
        <v>78</v>
      </c>
      <c r="I72" s="292">
        <v>780</v>
      </c>
    </row>
    <row r="73" spans="1:9" ht="15.95" customHeight="1">
      <c r="A73" s="271">
        <v>72</v>
      </c>
      <c r="B73" s="293" t="s">
        <v>117</v>
      </c>
      <c r="C73" s="290" t="s">
        <v>118</v>
      </c>
      <c r="D73" s="294"/>
      <c r="E73" s="291">
        <v>46174</v>
      </c>
      <c r="F73" s="276">
        <v>2.14</v>
      </c>
      <c r="G73" s="276">
        <f t="shared" si="11"/>
        <v>774.68000000000006</v>
      </c>
      <c r="H73" s="275">
        <v>362</v>
      </c>
      <c r="I73" s="292"/>
    </row>
    <row r="74" spans="1:9" ht="24.75">
      <c r="A74" s="271">
        <v>73</v>
      </c>
      <c r="B74" s="295" t="s">
        <v>119</v>
      </c>
      <c r="C74" s="296"/>
      <c r="D74" s="288" t="s">
        <v>120</v>
      </c>
      <c r="E74" s="274"/>
      <c r="F74" s="276">
        <v>72</v>
      </c>
      <c r="G74" s="276">
        <f t="shared" si="11"/>
        <v>4608</v>
      </c>
      <c r="H74" s="275">
        <v>64</v>
      </c>
      <c r="I74" s="292"/>
    </row>
    <row r="75" spans="1:9" ht="15">
      <c r="A75" s="271">
        <v>74</v>
      </c>
      <c r="B75" s="297" t="s">
        <v>121</v>
      </c>
      <c r="C75" s="296" t="s">
        <v>20</v>
      </c>
      <c r="D75" s="288" t="s">
        <v>122</v>
      </c>
      <c r="E75" s="274"/>
      <c r="F75" s="276">
        <v>980</v>
      </c>
      <c r="G75" s="276">
        <f t="shared" si="11"/>
        <v>63700</v>
      </c>
      <c r="H75" s="275">
        <v>65</v>
      </c>
      <c r="I75" s="292">
        <v>6490</v>
      </c>
    </row>
    <row r="76" spans="1:9" ht="30">
      <c r="A76" s="271">
        <v>75</v>
      </c>
      <c r="B76" s="295" t="s">
        <v>123</v>
      </c>
      <c r="C76" s="296"/>
      <c r="D76" s="280" t="s">
        <v>124</v>
      </c>
      <c r="E76" s="274"/>
      <c r="F76" s="276">
        <v>37</v>
      </c>
      <c r="G76" s="276">
        <f t="shared" si="11"/>
        <v>3034</v>
      </c>
      <c r="H76" s="275">
        <v>82</v>
      </c>
      <c r="I76" s="285"/>
    </row>
    <row r="77" spans="1:9" ht="16.5" customHeight="1">
      <c r="A77" s="271">
        <v>76</v>
      </c>
      <c r="B77" s="295" t="s">
        <v>125</v>
      </c>
      <c r="C77" s="296"/>
      <c r="D77" s="280" t="s">
        <v>124</v>
      </c>
      <c r="E77" s="274"/>
      <c r="F77" s="276">
        <v>39</v>
      </c>
      <c r="G77" s="276">
        <f t="shared" si="11"/>
        <v>3159</v>
      </c>
      <c r="H77" s="275">
        <v>81</v>
      </c>
      <c r="I77" s="285"/>
    </row>
    <row r="78" spans="1:9" ht="30">
      <c r="A78" s="271">
        <v>77</v>
      </c>
      <c r="B78" s="295" t="s">
        <v>126</v>
      </c>
      <c r="C78" s="296"/>
      <c r="D78" s="280" t="s">
        <v>124</v>
      </c>
      <c r="E78" s="274">
        <v>46235</v>
      </c>
      <c r="F78" s="276">
        <v>37</v>
      </c>
      <c r="G78" s="276">
        <f t="shared" si="11"/>
        <v>1739</v>
      </c>
      <c r="H78" s="275">
        <v>47</v>
      </c>
      <c r="I78" s="285"/>
    </row>
    <row r="79" spans="1:9" ht="16.5" customHeight="1">
      <c r="A79" s="271">
        <v>78</v>
      </c>
      <c r="B79" s="295" t="s">
        <v>127</v>
      </c>
      <c r="C79" s="296"/>
      <c r="D79" s="280" t="s">
        <v>386</v>
      </c>
      <c r="E79" s="281">
        <v>46327</v>
      </c>
      <c r="F79" s="276">
        <v>85</v>
      </c>
      <c r="G79" s="276">
        <f t="shared" si="11"/>
        <v>8160</v>
      </c>
      <c r="H79" s="275">
        <v>96</v>
      </c>
      <c r="I79" s="285"/>
    </row>
    <row r="80" spans="1:9" ht="30">
      <c r="A80" s="271">
        <v>79</v>
      </c>
      <c r="B80" s="295" t="s">
        <v>129</v>
      </c>
      <c r="C80" s="296"/>
      <c r="D80" s="280" t="s">
        <v>387</v>
      </c>
      <c r="E80" s="274"/>
      <c r="F80" s="276">
        <v>40</v>
      </c>
      <c r="G80" s="276">
        <f t="shared" si="11"/>
        <v>15800</v>
      </c>
      <c r="H80" s="275">
        <v>395</v>
      </c>
      <c r="I80" s="285"/>
    </row>
    <row r="81" spans="1:9" ht="15">
      <c r="A81" s="271">
        <v>80</v>
      </c>
      <c r="B81" s="295" t="s">
        <v>131</v>
      </c>
      <c r="C81" s="296"/>
      <c r="D81" s="280"/>
      <c r="E81" s="274"/>
      <c r="F81" s="275">
        <v>2.8</v>
      </c>
      <c r="G81" s="276">
        <f t="shared" si="11"/>
        <v>644</v>
      </c>
      <c r="H81" s="275">
        <v>230</v>
      </c>
      <c r="I81" s="285"/>
    </row>
    <row r="82" spans="1:9" ht="15">
      <c r="A82" s="271">
        <v>81</v>
      </c>
      <c r="B82" s="295" t="s">
        <v>132</v>
      </c>
      <c r="C82" s="296"/>
      <c r="D82" s="280"/>
      <c r="E82" s="274"/>
      <c r="F82" s="275">
        <v>16.03</v>
      </c>
      <c r="G82" s="276">
        <f t="shared" si="11"/>
        <v>1603</v>
      </c>
      <c r="H82" s="275">
        <v>100</v>
      </c>
      <c r="I82" s="285"/>
    </row>
    <row r="83" spans="1:9" ht="30">
      <c r="A83" s="271">
        <v>82</v>
      </c>
      <c r="B83" s="295" t="s">
        <v>133</v>
      </c>
      <c r="C83" s="296"/>
      <c r="D83" s="280" t="s">
        <v>381</v>
      </c>
      <c r="E83" s="274"/>
      <c r="F83" s="275">
        <v>87</v>
      </c>
      <c r="G83" s="276">
        <f t="shared" si="11"/>
        <v>67947</v>
      </c>
      <c r="H83" s="275">
        <v>781</v>
      </c>
      <c r="I83" s="285"/>
    </row>
    <row r="84" spans="1:9" ht="33" customHeight="1">
      <c r="A84" s="271">
        <v>83</v>
      </c>
      <c r="B84" s="295" t="s">
        <v>135</v>
      </c>
      <c r="C84" s="296" t="s">
        <v>118</v>
      </c>
      <c r="D84" s="280"/>
      <c r="E84" s="274">
        <v>46357</v>
      </c>
      <c r="F84" s="275">
        <v>2.8</v>
      </c>
      <c r="G84" s="276">
        <f t="shared" si="11"/>
        <v>1400</v>
      </c>
      <c r="H84" s="275">
        <v>500</v>
      </c>
      <c r="I84" s="285"/>
    </row>
    <row r="85" spans="1:9" ht="15.95" customHeight="1">
      <c r="A85" s="271">
        <v>84</v>
      </c>
      <c r="B85" s="295" t="s">
        <v>136</v>
      </c>
      <c r="C85" s="296" t="s">
        <v>118</v>
      </c>
      <c r="D85" s="280"/>
      <c r="E85" s="274">
        <v>46327</v>
      </c>
      <c r="F85" s="275">
        <v>1.55</v>
      </c>
      <c r="G85" s="276">
        <f t="shared" si="11"/>
        <v>1302</v>
      </c>
      <c r="H85" s="275">
        <v>840</v>
      </c>
      <c r="I85" s="285"/>
    </row>
    <row r="86" spans="1:9" ht="15.95" customHeight="1">
      <c r="A86" s="271">
        <v>85</v>
      </c>
      <c r="B86" s="295" t="s">
        <v>137</v>
      </c>
      <c r="C86" s="296" t="s">
        <v>118</v>
      </c>
      <c r="D86" s="280"/>
      <c r="E86" s="274">
        <v>46023</v>
      </c>
      <c r="F86" s="275">
        <v>15.94</v>
      </c>
      <c r="G86" s="275">
        <f t="shared" si="11"/>
        <v>175.34</v>
      </c>
      <c r="H86" s="275">
        <v>11</v>
      </c>
      <c r="I86" s="285"/>
    </row>
    <row r="87" spans="1:9" ht="15.95" customHeight="1">
      <c r="A87" s="271">
        <v>86</v>
      </c>
      <c r="B87" s="298" t="s">
        <v>138</v>
      </c>
      <c r="C87" s="296" t="s">
        <v>118</v>
      </c>
      <c r="D87" s="280"/>
      <c r="E87" s="274">
        <v>46023</v>
      </c>
      <c r="F87" s="275">
        <v>31.55</v>
      </c>
      <c r="G87" s="276">
        <f t="shared" si="11"/>
        <v>63.1</v>
      </c>
      <c r="H87" s="275">
        <v>2</v>
      </c>
      <c r="I87" s="285"/>
    </row>
    <row r="88" spans="1:9" ht="15.95" customHeight="1">
      <c r="A88" s="271">
        <v>87</v>
      </c>
      <c r="B88" s="298" t="s">
        <v>139</v>
      </c>
      <c r="C88" s="296" t="s">
        <v>118</v>
      </c>
      <c r="D88" s="280"/>
      <c r="E88" s="274">
        <v>46023</v>
      </c>
      <c r="F88" s="275">
        <v>53.39</v>
      </c>
      <c r="G88" s="276">
        <f t="shared" si="11"/>
        <v>53.39</v>
      </c>
      <c r="H88" s="275">
        <v>1</v>
      </c>
      <c r="I88" s="285"/>
    </row>
    <row r="89" spans="1:9" ht="30">
      <c r="A89" s="271">
        <v>88</v>
      </c>
      <c r="B89" s="298" t="s">
        <v>140</v>
      </c>
      <c r="C89" s="296" t="s">
        <v>118</v>
      </c>
      <c r="D89" s="280"/>
      <c r="E89" s="274">
        <v>46357</v>
      </c>
      <c r="F89" s="276">
        <v>5</v>
      </c>
      <c r="G89" s="276">
        <f t="shared" si="11"/>
        <v>115</v>
      </c>
      <c r="H89" s="275">
        <v>23</v>
      </c>
      <c r="I89" s="285"/>
    </row>
    <row r="90" spans="1:9" ht="15.95" customHeight="1">
      <c r="A90" s="271">
        <v>89</v>
      </c>
      <c r="B90" s="298" t="s">
        <v>141</v>
      </c>
      <c r="C90" s="299" t="s">
        <v>118</v>
      </c>
      <c r="D90" s="280"/>
      <c r="E90" s="274"/>
      <c r="F90" s="275">
        <v>7.46</v>
      </c>
      <c r="G90" s="276">
        <f t="shared" si="11"/>
        <v>141.74</v>
      </c>
      <c r="H90" s="275">
        <v>19</v>
      </c>
      <c r="I90" s="285"/>
    </row>
    <row r="91" spans="1:9" ht="15.95" customHeight="1">
      <c r="A91" s="271">
        <v>90</v>
      </c>
      <c r="B91" s="298" t="s">
        <v>141</v>
      </c>
      <c r="C91" s="299" t="s">
        <v>118</v>
      </c>
      <c r="D91" s="280"/>
      <c r="E91" s="274"/>
      <c r="F91" s="275">
        <v>7.58</v>
      </c>
      <c r="G91" s="276">
        <f t="shared" si="11"/>
        <v>7.58</v>
      </c>
      <c r="H91" s="275">
        <v>1</v>
      </c>
      <c r="I91" s="285"/>
    </row>
    <row r="92" spans="1:9" ht="15.95" customHeight="1">
      <c r="A92" s="271">
        <v>91</v>
      </c>
      <c r="B92" s="300" t="s">
        <v>142</v>
      </c>
      <c r="C92" s="299" t="s">
        <v>118</v>
      </c>
      <c r="D92" s="280"/>
      <c r="E92" s="274">
        <v>47939</v>
      </c>
      <c r="F92" s="275">
        <v>8.24</v>
      </c>
      <c r="G92" s="276">
        <f t="shared" si="11"/>
        <v>173.04</v>
      </c>
      <c r="H92" s="275">
        <v>21</v>
      </c>
      <c r="I92" s="285"/>
    </row>
    <row r="93" spans="1:9" ht="30">
      <c r="A93" s="271">
        <v>92</v>
      </c>
      <c r="B93" s="301" t="s">
        <v>143</v>
      </c>
      <c r="C93" s="296" t="s">
        <v>118</v>
      </c>
      <c r="D93" s="280"/>
      <c r="E93" s="274">
        <v>64193</v>
      </c>
      <c r="F93" s="275">
        <v>21.2</v>
      </c>
      <c r="G93" s="276">
        <f t="shared" si="11"/>
        <v>2332</v>
      </c>
      <c r="H93" s="275">
        <v>110</v>
      </c>
      <c r="I93" s="285"/>
    </row>
    <row r="94" spans="1:9" ht="16.5" customHeight="1">
      <c r="A94" s="271">
        <v>93</v>
      </c>
      <c r="B94" s="301" t="s">
        <v>144</v>
      </c>
      <c r="C94" s="296" t="s">
        <v>118</v>
      </c>
      <c r="D94" s="280"/>
      <c r="E94" s="274">
        <v>46447</v>
      </c>
      <c r="F94" s="275">
        <v>11.15</v>
      </c>
      <c r="G94" s="275">
        <f t="shared" si="11"/>
        <v>724.75</v>
      </c>
      <c r="H94" s="275">
        <v>65</v>
      </c>
      <c r="I94" s="285"/>
    </row>
    <row r="95" spans="1:9" ht="30.75" customHeight="1">
      <c r="A95" s="271">
        <v>94</v>
      </c>
      <c r="B95" s="301" t="s">
        <v>145</v>
      </c>
      <c r="C95" s="296" t="s">
        <v>118</v>
      </c>
      <c r="D95" s="280" t="s">
        <v>122</v>
      </c>
      <c r="E95" s="274"/>
      <c r="F95" s="275">
        <v>3.75</v>
      </c>
      <c r="G95" s="276">
        <f t="shared" si="11"/>
        <v>885</v>
      </c>
      <c r="H95" s="275">
        <v>236</v>
      </c>
      <c r="I95" s="285"/>
    </row>
    <row r="96" spans="1:9" ht="16.5" customHeight="1">
      <c r="A96" s="271">
        <v>95</v>
      </c>
      <c r="B96" s="301" t="s">
        <v>146</v>
      </c>
      <c r="C96" s="296" t="s">
        <v>118</v>
      </c>
      <c r="D96" s="280"/>
      <c r="E96" s="274">
        <v>46235</v>
      </c>
      <c r="F96" s="275">
        <v>3.8519999999999999</v>
      </c>
      <c r="G96" s="276">
        <f t="shared" si="11"/>
        <v>5970.5999999999995</v>
      </c>
      <c r="H96" s="275">
        <v>1550</v>
      </c>
      <c r="I96" s="285"/>
    </row>
    <row r="97" spans="1:9" ht="30">
      <c r="A97" s="271">
        <v>97</v>
      </c>
      <c r="B97" s="301" t="s">
        <v>149</v>
      </c>
      <c r="C97" s="296" t="s">
        <v>118</v>
      </c>
      <c r="D97" s="280"/>
      <c r="E97" s="274">
        <v>47574</v>
      </c>
      <c r="F97" s="275">
        <v>2.2469999999999999</v>
      </c>
      <c r="G97" s="276">
        <f t="shared" si="11"/>
        <v>6741</v>
      </c>
      <c r="H97" s="275">
        <v>3000</v>
      </c>
      <c r="I97" s="277"/>
    </row>
    <row r="98" spans="1:9" ht="15.95" customHeight="1">
      <c r="A98" s="271">
        <v>98</v>
      </c>
      <c r="B98" s="301" t="s">
        <v>150</v>
      </c>
      <c r="C98" s="296" t="s">
        <v>20</v>
      </c>
      <c r="D98" s="280" t="s">
        <v>151</v>
      </c>
      <c r="E98" s="274">
        <v>46600</v>
      </c>
      <c r="F98" s="275">
        <v>74.900000000000006</v>
      </c>
      <c r="G98" s="276">
        <f t="shared" si="11"/>
        <v>749</v>
      </c>
      <c r="H98" s="275">
        <v>10</v>
      </c>
      <c r="I98" s="277">
        <v>1950</v>
      </c>
    </row>
    <row r="99" spans="1:9" ht="15.95" customHeight="1">
      <c r="A99" s="271">
        <v>99</v>
      </c>
      <c r="B99" s="301" t="s">
        <v>152</v>
      </c>
      <c r="C99" s="296" t="s">
        <v>118</v>
      </c>
      <c r="D99" s="280"/>
      <c r="E99" s="274"/>
      <c r="F99" s="275">
        <v>57.37</v>
      </c>
      <c r="G99" s="275">
        <f t="shared" si="11"/>
        <v>2294.7999999999997</v>
      </c>
      <c r="H99" s="275">
        <v>40</v>
      </c>
      <c r="I99" s="277"/>
    </row>
    <row r="100" spans="1:9" ht="15.95" customHeight="1">
      <c r="A100" s="271">
        <v>100</v>
      </c>
      <c r="B100" s="301" t="s">
        <v>153</v>
      </c>
      <c r="C100" s="296" t="s">
        <v>118</v>
      </c>
      <c r="D100" s="280"/>
      <c r="E100" s="274">
        <v>45992</v>
      </c>
      <c r="F100" s="275">
        <v>0.48</v>
      </c>
      <c r="G100" s="276">
        <f t="shared" si="11"/>
        <v>1008</v>
      </c>
      <c r="H100" s="275">
        <v>2100</v>
      </c>
      <c r="I100" s="277"/>
    </row>
    <row r="101" spans="1:9" ht="15.95" customHeight="1">
      <c r="A101" s="271">
        <v>102</v>
      </c>
      <c r="B101" s="301" t="s">
        <v>155</v>
      </c>
      <c r="C101" s="296" t="s">
        <v>20</v>
      </c>
      <c r="D101" s="280" t="s">
        <v>122</v>
      </c>
      <c r="E101" s="274">
        <v>47270</v>
      </c>
      <c r="F101" s="276">
        <v>49</v>
      </c>
      <c r="G101" s="276">
        <f t="shared" si="11"/>
        <v>4312</v>
      </c>
      <c r="H101" s="275">
        <v>88</v>
      </c>
      <c r="I101" s="285">
        <v>8752</v>
      </c>
    </row>
    <row r="102" spans="1:9" ht="31.5" customHeight="1">
      <c r="A102" s="271">
        <v>104</v>
      </c>
      <c r="B102" s="302" t="s">
        <v>158</v>
      </c>
      <c r="C102" s="296" t="s">
        <v>157</v>
      </c>
      <c r="D102" s="280"/>
      <c r="E102" s="281">
        <v>47331</v>
      </c>
      <c r="F102" s="276">
        <v>6.89</v>
      </c>
      <c r="G102" s="276">
        <f t="shared" si="11"/>
        <v>15399.15</v>
      </c>
      <c r="H102" s="275">
        <v>2235</v>
      </c>
      <c r="I102" s="285"/>
    </row>
    <row r="103" spans="1:9" ht="17.25" customHeight="1">
      <c r="A103" s="271">
        <v>105</v>
      </c>
      <c r="B103" s="302" t="s">
        <v>159</v>
      </c>
      <c r="C103" s="296" t="s">
        <v>157</v>
      </c>
      <c r="D103" s="280"/>
      <c r="E103" s="281">
        <v>46327</v>
      </c>
      <c r="F103" s="276">
        <v>5.2</v>
      </c>
      <c r="G103" s="276">
        <f t="shared" si="11"/>
        <v>6604</v>
      </c>
      <c r="H103" s="275">
        <v>1270</v>
      </c>
      <c r="I103" s="285"/>
    </row>
    <row r="104" spans="1:9" ht="30">
      <c r="A104" s="271">
        <v>106</v>
      </c>
      <c r="B104" s="301" t="s">
        <v>160</v>
      </c>
      <c r="C104" s="296" t="s">
        <v>157</v>
      </c>
      <c r="D104" s="280"/>
      <c r="E104" s="274">
        <v>46357</v>
      </c>
      <c r="F104" s="276">
        <v>1.8855999999999999</v>
      </c>
      <c r="G104" s="276">
        <f t="shared" ref="G104:G135" si="12">F104*H104</f>
        <v>565.67999999999995</v>
      </c>
      <c r="H104" s="275">
        <v>300</v>
      </c>
      <c r="I104" s="285"/>
    </row>
    <row r="105" spans="1:9" ht="15.95" customHeight="1">
      <c r="A105" s="271">
        <v>107</v>
      </c>
      <c r="B105" s="301" t="s">
        <v>161</v>
      </c>
      <c r="C105" s="296" t="s">
        <v>118</v>
      </c>
      <c r="D105" s="280"/>
      <c r="E105" s="274">
        <v>46023</v>
      </c>
      <c r="F105" s="276">
        <v>1.1000000000000001</v>
      </c>
      <c r="G105" s="276">
        <f t="shared" si="12"/>
        <v>715.00000000000011</v>
      </c>
      <c r="H105" s="275">
        <v>650</v>
      </c>
      <c r="I105" s="285"/>
    </row>
    <row r="106" spans="1:9" ht="15.95" customHeight="1">
      <c r="A106" s="271">
        <v>108</v>
      </c>
      <c r="B106" s="301" t="s">
        <v>162</v>
      </c>
      <c r="C106" s="296" t="s">
        <v>118</v>
      </c>
      <c r="D106" s="280"/>
      <c r="E106" s="274">
        <v>46419</v>
      </c>
      <c r="F106" s="276">
        <v>79</v>
      </c>
      <c r="G106" s="276">
        <f t="shared" si="12"/>
        <v>6952</v>
      </c>
      <c r="H106" s="275">
        <v>88</v>
      </c>
      <c r="I106" s="285"/>
    </row>
    <row r="107" spans="1:9" ht="15.95" customHeight="1">
      <c r="A107" s="271">
        <v>110</v>
      </c>
      <c r="B107" s="301" t="s">
        <v>164</v>
      </c>
      <c r="C107" s="296" t="s">
        <v>118</v>
      </c>
      <c r="D107" s="280"/>
      <c r="E107" s="274">
        <v>47300</v>
      </c>
      <c r="F107" s="275">
        <v>3.1030000000000002</v>
      </c>
      <c r="G107" s="276">
        <f t="shared" si="12"/>
        <v>11698.310000000001</v>
      </c>
      <c r="H107" s="275">
        <v>3770</v>
      </c>
      <c r="I107" s="285"/>
    </row>
    <row r="108" spans="1:9" ht="15.95" customHeight="1">
      <c r="A108" s="271">
        <v>111</v>
      </c>
      <c r="B108" s="301" t="s">
        <v>165</v>
      </c>
      <c r="C108" s="296" t="s">
        <v>118</v>
      </c>
      <c r="D108" s="280"/>
      <c r="E108" s="274">
        <v>47515</v>
      </c>
      <c r="F108" s="275">
        <v>3.5310000000000001</v>
      </c>
      <c r="G108" s="276">
        <f t="shared" si="12"/>
        <v>176.55</v>
      </c>
      <c r="H108" s="275">
        <v>50</v>
      </c>
      <c r="I108" s="285"/>
    </row>
    <row r="109" spans="1:9" ht="15.95" customHeight="1">
      <c r="A109" s="271">
        <v>112</v>
      </c>
      <c r="B109" s="301" t="s">
        <v>166</v>
      </c>
      <c r="C109" s="296" t="s">
        <v>118</v>
      </c>
      <c r="D109" s="280"/>
      <c r="E109" s="274">
        <v>46296</v>
      </c>
      <c r="F109" s="275">
        <v>0.89</v>
      </c>
      <c r="G109" s="276">
        <f t="shared" si="12"/>
        <v>2225</v>
      </c>
      <c r="H109" s="275">
        <v>2500</v>
      </c>
      <c r="I109" s="285"/>
    </row>
    <row r="110" spans="1:9" ht="15.95" customHeight="1">
      <c r="A110" s="271">
        <v>113</v>
      </c>
      <c r="B110" s="301" t="s">
        <v>167</v>
      </c>
      <c r="C110" s="296" t="s">
        <v>118</v>
      </c>
      <c r="D110" s="280"/>
      <c r="E110" s="274">
        <v>47453</v>
      </c>
      <c r="F110" s="275">
        <v>1.498</v>
      </c>
      <c r="G110" s="276">
        <f t="shared" si="12"/>
        <v>3745</v>
      </c>
      <c r="H110" s="275">
        <v>2500</v>
      </c>
      <c r="I110" s="285"/>
    </row>
    <row r="111" spans="1:9" ht="15.95" customHeight="1">
      <c r="A111" s="271">
        <v>114</v>
      </c>
      <c r="B111" s="301" t="s">
        <v>168</v>
      </c>
      <c r="C111" s="296" t="s">
        <v>118</v>
      </c>
      <c r="D111" s="280"/>
      <c r="E111" s="274">
        <v>46874</v>
      </c>
      <c r="F111" s="275">
        <v>1.65</v>
      </c>
      <c r="G111" s="275">
        <f t="shared" si="12"/>
        <v>288.75</v>
      </c>
      <c r="H111" s="275">
        <v>175</v>
      </c>
      <c r="I111" s="285"/>
    </row>
    <row r="112" spans="1:9" ht="15.95" customHeight="1">
      <c r="A112" s="271">
        <v>115</v>
      </c>
      <c r="B112" s="301" t="s">
        <v>169</v>
      </c>
      <c r="C112" s="296" t="s">
        <v>118</v>
      </c>
      <c r="D112" s="280"/>
      <c r="E112" s="274"/>
      <c r="F112" s="275">
        <v>11.984</v>
      </c>
      <c r="G112" s="276">
        <f t="shared" si="12"/>
        <v>59.92</v>
      </c>
      <c r="H112" s="275">
        <v>5</v>
      </c>
      <c r="I112" s="285"/>
    </row>
    <row r="113" spans="1:9" ht="15.95" customHeight="1">
      <c r="A113" s="271">
        <v>116</v>
      </c>
      <c r="B113" s="301" t="s">
        <v>170</v>
      </c>
      <c r="C113" s="296" t="s">
        <v>118</v>
      </c>
      <c r="D113" s="280"/>
      <c r="E113" s="274"/>
      <c r="F113" s="276">
        <v>6.3558000000000003</v>
      </c>
      <c r="G113" s="276">
        <f t="shared" si="12"/>
        <v>4811.3406000000004</v>
      </c>
      <c r="H113" s="275">
        <v>757</v>
      </c>
      <c r="I113" s="285"/>
    </row>
    <row r="114" spans="1:9" ht="29.25" customHeight="1">
      <c r="A114" s="271">
        <v>117</v>
      </c>
      <c r="B114" s="301" t="s">
        <v>171</v>
      </c>
      <c r="C114" s="296" t="s">
        <v>118</v>
      </c>
      <c r="D114" s="280" t="s">
        <v>122</v>
      </c>
      <c r="E114" s="274"/>
      <c r="F114" s="276">
        <v>500</v>
      </c>
      <c r="G114" s="276">
        <f t="shared" si="12"/>
        <v>3000</v>
      </c>
      <c r="H114" s="275">
        <v>6</v>
      </c>
      <c r="I114" s="285">
        <v>600</v>
      </c>
    </row>
    <row r="115" spans="1:9" ht="15.95" customHeight="1">
      <c r="A115" s="271">
        <v>118</v>
      </c>
      <c r="B115" s="301" t="s">
        <v>172</v>
      </c>
      <c r="C115" s="296"/>
      <c r="D115" s="280"/>
      <c r="E115" s="274"/>
      <c r="F115" s="276">
        <v>5.8315000000000001</v>
      </c>
      <c r="G115" s="276">
        <f t="shared" si="12"/>
        <v>11896.26</v>
      </c>
      <c r="H115" s="275">
        <v>2040</v>
      </c>
      <c r="I115" s="285"/>
    </row>
    <row r="116" spans="1:9" ht="15.95" customHeight="1">
      <c r="A116" s="271">
        <v>119</v>
      </c>
      <c r="B116" s="301" t="s">
        <v>173</v>
      </c>
      <c r="C116" s="296"/>
      <c r="D116" s="280"/>
      <c r="E116" s="274"/>
      <c r="F116" s="276">
        <v>3.21</v>
      </c>
      <c r="G116" s="276">
        <f t="shared" si="12"/>
        <v>22004.55</v>
      </c>
      <c r="H116" s="275">
        <v>6855</v>
      </c>
      <c r="I116" s="285"/>
    </row>
    <row r="117" spans="1:9" ht="15.95" customHeight="1">
      <c r="A117" s="271">
        <v>121</v>
      </c>
      <c r="B117" s="301" t="s">
        <v>175</v>
      </c>
      <c r="C117" s="296" t="s">
        <v>118</v>
      </c>
      <c r="D117" s="280"/>
      <c r="E117" s="274"/>
      <c r="F117" s="275">
        <v>0.37</v>
      </c>
      <c r="G117" s="276">
        <f t="shared" si="12"/>
        <v>1533.65</v>
      </c>
      <c r="H117" s="275">
        <v>4145</v>
      </c>
      <c r="I117" s="285"/>
    </row>
    <row r="118" spans="1:9" ht="33.75" customHeight="1">
      <c r="A118" s="271">
        <v>123</v>
      </c>
      <c r="B118" s="303" t="s">
        <v>177</v>
      </c>
      <c r="C118" s="296" t="s">
        <v>118</v>
      </c>
      <c r="D118" s="280"/>
      <c r="E118" s="281"/>
      <c r="F118" s="275">
        <v>2086.5</v>
      </c>
      <c r="G118" s="276">
        <f t="shared" si="12"/>
        <v>2086.5</v>
      </c>
      <c r="H118" s="275">
        <v>1</v>
      </c>
      <c r="I118" s="285"/>
    </row>
    <row r="119" spans="1:9" ht="30">
      <c r="A119" s="271">
        <v>124</v>
      </c>
      <c r="B119" s="301" t="s">
        <v>178</v>
      </c>
      <c r="C119" s="296" t="s">
        <v>118</v>
      </c>
      <c r="D119" s="280"/>
      <c r="E119" s="281">
        <v>45809</v>
      </c>
      <c r="F119" s="275">
        <v>7755.56</v>
      </c>
      <c r="G119" s="276">
        <f t="shared" si="12"/>
        <v>7755.56</v>
      </c>
      <c r="H119" s="275">
        <v>1</v>
      </c>
      <c r="I119" s="285"/>
    </row>
    <row r="120" spans="1:9" ht="15.75" customHeight="1">
      <c r="A120" s="271">
        <v>125</v>
      </c>
      <c r="B120" s="301" t="s">
        <v>179</v>
      </c>
      <c r="C120" s="296" t="s">
        <v>118</v>
      </c>
      <c r="D120" s="280"/>
      <c r="E120" s="281">
        <v>45748</v>
      </c>
      <c r="F120" s="276">
        <v>1701.3</v>
      </c>
      <c r="G120" s="276">
        <f t="shared" si="12"/>
        <v>3402.6</v>
      </c>
      <c r="H120" s="275">
        <v>2</v>
      </c>
      <c r="I120" s="285"/>
    </row>
    <row r="121" spans="1:9" ht="15.95" customHeight="1">
      <c r="A121" s="271">
        <v>126</v>
      </c>
      <c r="B121" s="301" t="s">
        <v>180</v>
      </c>
      <c r="C121" s="296" t="s">
        <v>118</v>
      </c>
      <c r="D121" s="280"/>
      <c r="E121" s="274">
        <v>45870</v>
      </c>
      <c r="F121" s="276">
        <v>2314.41</v>
      </c>
      <c r="G121" s="276">
        <f t="shared" si="12"/>
        <v>2314.41</v>
      </c>
      <c r="H121" s="275">
        <v>1</v>
      </c>
      <c r="I121" s="285"/>
    </row>
    <row r="122" spans="1:9" ht="15.95" customHeight="1">
      <c r="A122" s="271">
        <v>127</v>
      </c>
      <c r="B122" s="301" t="s">
        <v>180</v>
      </c>
      <c r="C122" s="296" t="s">
        <v>118</v>
      </c>
      <c r="D122" s="280"/>
      <c r="E122" s="274">
        <v>46174</v>
      </c>
      <c r="F122" s="276">
        <v>2887.93</v>
      </c>
      <c r="G122" s="276">
        <f t="shared" si="12"/>
        <v>11551.72</v>
      </c>
      <c r="H122" s="275">
        <v>4</v>
      </c>
      <c r="I122" s="285"/>
    </row>
    <row r="123" spans="1:9" ht="15.95" customHeight="1">
      <c r="A123" s="271">
        <v>129</v>
      </c>
      <c r="B123" s="301" t="s">
        <v>181</v>
      </c>
      <c r="C123" s="296" t="s">
        <v>118</v>
      </c>
      <c r="D123" s="280"/>
      <c r="E123" s="274">
        <v>46692</v>
      </c>
      <c r="F123" s="286">
        <v>1712</v>
      </c>
      <c r="G123" s="276">
        <f t="shared" si="12"/>
        <v>1712</v>
      </c>
      <c r="H123" s="275">
        <v>1</v>
      </c>
      <c r="I123" s="285"/>
    </row>
    <row r="124" spans="1:9" ht="15.95" customHeight="1">
      <c r="A124" s="271">
        <v>131</v>
      </c>
      <c r="B124" s="301" t="s">
        <v>183</v>
      </c>
      <c r="C124" s="296" t="s">
        <v>118</v>
      </c>
      <c r="D124" s="280"/>
      <c r="E124" s="274"/>
      <c r="F124" s="286">
        <v>785.38</v>
      </c>
      <c r="G124" s="276">
        <f t="shared" si="12"/>
        <v>1570.76</v>
      </c>
      <c r="H124" s="275">
        <v>2</v>
      </c>
      <c r="I124" s="285"/>
    </row>
    <row r="125" spans="1:9" ht="15.95" customHeight="1">
      <c r="A125" s="271">
        <v>132</v>
      </c>
      <c r="B125" s="301" t="s">
        <v>366</v>
      </c>
      <c r="C125" s="296" t="s">
        <v>118</v>
      </c>
      <c r="D125" s="280"/>
      <c r="E125" s="274"/>
      <c r="F125" s="286">
        <v>454.75</v>
      </c>
      <c r="G125" s="276">
        <f t="shared" si="12"/>
        <v>454.75</v>
      </c>
      <c r="H125" s="275">
        <v>1</v>
      </c>
      <c r="I125" s="285"/>
    </row>
    <row r="126" spans="1:9" ht="15.95" customHeight="1">
      <c r="A126" s="271">
        <v>134</v>
      </c>
      <c r="B126" s="301" t="s">
        <v>187</v>
      </c>
      <c r="C126" s="296" t="s">
        <v>118</v>
      </c>
      <c r="D126" s="280" t="s">
        <v>186</v>
      </c>
      <c r="E126" s="274"/>
      <c r="F126" s="276">
        <v>303</v>
      </c>
      <c r="G126" s="276">
        <f t="shared" si="12"/>
        <v>1515</v>
      </c>
      <c r="H126" s="275">
        <v>5</v>
      </c>
      <c r="I126" s="285">
        <v>4270</v>
      </c>
    </row>
    <row r="127" spans="1:9" ht="15.95" customHeight="1">
      <c r="A127" s="271">
        <v>135</v>
      </c>
      <c r="B127" s="301" t="s">
        <v>188</v>
      </c>
      <c r="C127" s="296" t="s">
        <v>118</v>
      </c>
      <c r="D127" s="280" t="s">
        <v>189</v>
      </c>
      <c r="E127" s="274">
        <v>46813</v>
      </c>
      <c r="F127" s="276">
        <v>153</v>
      </c>
      <c r="G127" s="276">
        <f t="shared" si="12"/>
        <v>612</v>
      </c>
      <c r="H127" s="275">
        <v>4</v>
      </c>
      <c r="I127" s="285">
        <v>1530</v>
      </c>
    </row>
    <row r="128" spans="1:9" ht="15.95" customHeight="1">
      <c r="A128" s="271">
        <v>136</v>
      </c>
      <c r="B128" s="301" t="s">
        <v>190</v>
      </c>
      <c r="C128" s="296"/>
      <c r="D128" s="280" t="s">
        <v>189</v>
      </c>
      <c r="E128" s="274"/>
      <c r="F128" s="276">
        <v>297</v>
      </c>
      <c r="G128" s="276">
        <f t="shared" si="12"/>
        <v>594</v>
      </c>
      <c r="H128" s="275">
        <v>2</v>
      </c>
      <c r="I128" s="285">
        <v>870</v>
      </c>
    </row>
    <row r="129" spans="1:9" ht="15.95" customHeight="1">
      <c r="A129" s="271">
        <v>137</v>
      </c>
      <c r="B129" s="301" t="s">
        <v>191</v>
      </c>
      <c r="C129" s="296" t="s">
        <v>118</v>
      </c>
      <c r="D129" s="280"/>
      <c r="E129" s="274">
        <v>46204</v>
      </c>
      <c r="F129" s="276">
        <v>172</v>
      </c>
      <c r="G129" s="276">
        <f t="shared" si="12"/>
        <v>860</v>
      </c>
      <c r="H129" s="275">
        <v>5</v>
      </c>
      <c r="I129" s="285"/>
    </row>
    <row r="130" spans="1:9" ht="15.95" customHeight="1">
      <c r="A130" s="271">
        <v>138</v>
      </c>
      <c r="B130" s="301" t="s">
        <v>192</v>
      </c>
      <c r="C130" s="296" t="s">
        <v>118</v>
      </c>
      <c r="D130" s="280" t="s">
        <v>193</v>
      </c>
      <c r="E130" s="274">
        <v>46204</v>
      </c>
      <c r="F130" s="276">
        <v>212</v>
      </c>
      <c r="G130" s="276">
        <f t="shared" si="12"/>
        <v>2756</v>
      </c>
      <c r="H130" s="275">
        <v>13</v>
      </c>
      <c r="I130" s="285"/>
    </row>
    <row r="131" spans="1:9" ht="15.95" customHeight="1">
      <c r="A131" s="271">
        <v>139</v>
      </c>
      <c r="B131" s="301" t="s">
        <v>194</v>
      </c>
      <c r="C131" s="296" t="s">
        <v>118</v>
      </c>
      <c r="D131" s="280" t="s">
        <v>193</v>
      </c>
      <c r="E131" s="274">
        <v>45992</v>
      </c>
      <c r="F131" s="276">
        <v>212</v>
      </c>
      <c r="G131" s="276">
        <f t="shared" si="12"/>
        <v>1060</v>
      </c>
      <c r="H131" s="275">
        <v>5</v>
      </c>
      <c r="I131" s="285"/>
    </row>
    <row r="132" spans="1:9" ht="15.95" customHeight="1">
      <c r="A132" s="271">
        <v>140</v>
      </c>
      <c r="B132" s="301" t="s">
        <v>195</v>
      </c>
      <c r="C132" s="296" t="s">
        <v>118</v>
      </c>
      <c r="D132" s="280" t="s">
        <v>193</v>
      </c>
      <c r="E132" s="274">
        <v>46082</v>
      </c>
      <c r="F132" s="276">
        <v>344</v>
      </c>
      <c r="G132" s="276">
        <f t="shared" si="12"/>
        <v>1720</v>
      </c>
      <c r="H132" s="275">
        <v>5</v>
      </c>
      <c r="I132" s="285"/>
    </row>
    <row r="133" spans="1:9" ht="15.95" customHeight="1">
      <c r="A133" s="271">
        <v>141</v>
      </c>
      <c r="B133" s="301" t="s">
        <v>196</v>
      </c>
      <c r="C133" s="296" t="s">
        <v>118</v>
      </c>
      <c r="D133" s="280" t="s">
        <v>193</v>
      </c>
      <c r="E133" s="274">
        <v>46082</v>
      </c>
      <c r="F133" s="276">
        <v>299</v>
      </c>
      <c r="G133" s="276">
        <f t="shared" si="12"/>
        <v>1196</v>
      </c>
      <c r="H133" s="275">
        <v>4</v>
      </c>
      <c r="I133" s="285"/>
    </row>
    <row r="134" spans="1:9" ht="15.95" customHeight="1">
      <c r="A134" s="271">
        <v>142</v>
      </c>
      <c r="B134" s="301" t="s">
        <v>197</v>
      </c>
      <c r="C134" s="296" t="s">
        <v>118</v>
      </c>
      <c r="D134" s="280"/>
      <c r="E134" s="274">
        <v>46054</v>
      </c>
      <c r="F134" s="275">
        <v>224</v>
      </c>
      <c r="G134" s="275">
        <f t="shared" si="12"/>
        <v>672</v>
      </c>
      <c r="H134" s="275">
        <v>3</v>
      </c>
      <c r="I134" s="285"/>
    </row>
    <row r="135" spans="1:9" ht="15.95" customHeight="1">
      <c r="A135" s="271">
        <v>143</v>
      </c>
      <c r="B135" s="301" t="s">
        <v>198</v>
      </c>
      <c r="C135" s="296" t="s">
        <v>118</v>
      </c>
      <c r="D135" s="280"/>
      <c r="E135" s="274">
        <v>45901</v>
      </c>
      <c r="F135" s="275">
        <v>224</v>
      </c>
      <c r="G135" s="275">
        <f t="shared" si="12"/>
        <v>896</v>
      </c>
      <c r="H135" s="275">
        <v>4</v>
      </c>
      <c r="I135" s="285"/>
    </row>
    <row r="136" spans="1:9" ht="18.75" customHeight="1">
      <c r="A136" s="271"/>
      <c r="B136" s="304" t="s">
        <v>199</v>
      </c>
      <c r="C136" s="305"/>
      <c r="D136" s="305"/>
      <c r="E136" s="305"/>
      <c r="F136" s="305"/>
      <c r="G136" s="305"/>
      <c r="H136" s="305"/>
      <c r="I136" s="285"/>
    </row>
    <row r="137" spans="1:9" ht="35.25" customHeight="1">
      <c r="A137" s="271">
        <v>1</v>
      </c>
      <c r="B137" s="306" t="s">
        <v>200</v>
      </c>
      <c r="C137" s="296" t="s">
        <v>23</v>
      </c>
      <c r="D137" s="296"/>
      <c r="E137" s="274">
        <v>46539</v>
      </c>
      <c r="F137" s="275">
        <v>87.763220000000004</v>
      </c>
      <c r="G137" s="276">
        <f t="shared" ref="G137:G147" si="13">F137*H137</f>
        <v>702.10576000000003</v>
      </c>
      <c r="H137" s="275">
        <v>8</v>
      </c>
      <c r="I137" s="285"/>
    </row>
    <row r="138" spans="1:9" ht="69.75" customHeight="1">
      <c r="A138" s="271">
        <v>2</v>
      </c>
      <c r="B138" s="307" t="s">
        <v>201</v>
      </c>
      <c r="C138" s="296" t="s">
        <v>23</v>
      </c>
      <c r="D138" s="296"/>
      <c r="E138" s="274">
        <v>46419</v>
      </c>
      <c r="F138" s="276">
        <v>47.498109999999997</v>
      </c>
      <c r="G138" s="276">
        <f t="shared" si="13"/>
        <v>807.46786999999995</v>
      </c>
      <c r="H138" s="275">
        <v>17</v>
      </c>
      <c r="I138" s="285"/>
    </row>
    <row r="139" spans="1:9" ht="30" customHeight="1">
      <c r="A139" s="271">
        <v>3</v>
      </c>
      <c r="B139" s="306" t="s">
        <v>202</v>
      </c>
      <c r="C139" s="296" t="s">
        <v>203</v>
      </c>
      <c r="D139" s="296"/>
      <c r="E139" s="274">
        <v>46447</v>
      </c>
      <c r="F139" s="308">
        <v>63</v>
      </c>
      <c r="G139" s="276">
        <f t="shared" si="13"/>
        <v>76230</v>
      </c>
      <c r="H139" s="275">
        <v>1210</v>
      </c>
      <c r="I139" s="285"/>
    </row>
    <row r="140" spans="1:9" ht="55.5" customHeight="1">
      <c r="A140" s="271">
        <v>4</v>
      </c>
      <c r="B140" s="306" t="s">
        <v>204</v>
      </c>
      <c r="C140" s="296" t="s">
        <v>203</v>
      </c>
      <c r="D140" s="296"/>
      <c r="E140" s="274">
        <v>46204</v>
      </c>
      <c r="F140" s="309">
        <v>311.82</v>
      </c>
      <c r="G140" s="276">
        <f t="shared" si="13"/>
        <v>29311.079999999998</v>
      </c>
      <c r="H140" s="275">
        <v>94</v>
      </c>
      <c r="I140" s="285"/>
    </row>
    <row r="141" spans="1:9" ht="56.25" customHeight="1">
      <c r="A141" s="271">
        <v>5</v>
      </c>
      <c r="B141" s="310" t="s">
        <v>206</v>
      </c>
      <c r="C141" s="311" t="s">
        <v>203</v>
      </c>
      <c r="D141" s="296"/>
      <c r="E141" s="274">
        <v>46296</v>
      </c>
      <c r="F141" s="309">
        <v>165.97004999999999</v>
      </c>
      <c r="G141" s="276">
        <f t="shared" si="13"/>
        <v>5642.9816999999994</v>
      </c>
      <c r="H141" s="275">
        <v>34</v>
      </c>
      <c r="I141" s="285"/>
    </row>
    <row r="142" spans="1:9" ht="42" customHeight="1">
      <c r="A142" s="312">
        <v>6</v>
      </c>
      <c r="B142" s="313" t="s">
        <v>207</v>
      </c>
      <c r="C142" s="314" t="s">
        <v>23</v>
      </c>
      <c r="D142" s="296"/>
      <c r="E142" s="274">
        <v>46722</v>
      </c>
      <c r="F142" s="309">
        <v>22.809000000000001</v>
      </c>
      <c r="G142" s="276">
        <f t="shared" si="13"/>
        <v>2280.9</v>
      </c>
      <c r="H142" s="275">
        <v>100</v>
      </c>
      <c r="I142" s="285"/>
    </row>
    <row r="143" spans="1:9" ht="43.5" customHeight="1">
      <c r="A143" s="312">
        <v>7</v>
      </c>
      <c r="B143" s="313" t="s">
        <v>208</v>
      </c>
      <c r="C143" s="314" t="s">
        <v>203</v>
      </c>
      <c r="D143" s="296"/>
      <c r="E143" s="274">
        <v>46174</v>
      </c>
      <c r="F143" s="309">
        <v>165.97</v>
      </c>
      <c r="G143" s="276">
        <f t="shared" si="13"/>
        <v>11617.9</v>
      </c>
      <c r="H143" s="275">
        <v>70</v>
      </c>
      <c r="I143" s="285"/>
    </row>
    <row r="144" spans="1:9" ht="35.25" customHeight="1">
      <c r="A144" s="312">
        <v>8</v>
      </c>
      <c r="B144" s="313" t="s">
        <v>209</v>
      </c>
      <c r="C144" s="314" t="s">
        <v>23</v>
      </c>
      <c r="D144" s="296"/>
      <c r="E144" s="274">
        <v>46235</v>
      </c>
      <c r="F144" s="309">
        <v>83.28913</v>
      </c>
      <c r="G144" s="276">
        <f t="shared" si="13"/>
        <v>1166.04782</v>
      </c>
      <c r="H144" s="275">
        <v>14</v>
      </c>
      <c r="I144" s="285"/>
    </row>
    <row r="145" spans="1:11" ht="41.25" customHeight="1">
      <c r="A145" s="312">
        <v>9</v>
      </c>
      <c r="B145" s="313" t="s">
        <v>210</v>
      </c>
      <c r="C145" s="314" t="s">
        <v>211</v>
      </c>
      <c r="D145" s="296"/>
      <c r="E145" s="274">
        <v>46419</v>
      </c>
      <c r="F145" s="309">
        <v>151.69268</v>
      </c>
      <c r="G145" s="276">
        <f t="shared" si="13"/>
        <v>151.69268</v>
      </c>
      <c r="H145" s="275">
        <v>1</v>
      </c>
      <c r="I145" s="285"/>
    </row>
    <row r="146" spans="1:11" ht="44.25" customHeight="1">
      <c r="A146" s="312">
        <v>10</v>
      </c>
      <c r="B146" s="313" t="s">
        <v>212</v>
      </c>
      <c r="C146" s="314" t="s">
        <v>211</v>
      </c>
      <c r="D146" s="296"/>
      <c r="E146" s="281">
        <v>46419</v>
      </c>
      <c r="F146" s="309">
        <v>104.197</v>
      </c>
      <c r="G146" s="276">
        <f t="shared" si="13"/>
        <v>1041.97</v>
      </c>
      <c r="H146" s="275">
        <v>10</v>
      </c>
      <c r="I146" s="285"/>
    </row>
    <row r="147" spans="1:11" ht="58.5" customHeight="1">
      <c r="A147" s="312">
        <v>11</v>
      </c>
      <c r="B147" s="313" t="s">
        <v>213</v>
      </c>
      <c r="C147" s="314" t="s">
        <v>211</v>
      </c>
      <c r="D147" s="296"/>
      <c r="E147" s="281">
        <v>46419</v>
      </c>
      <c r="F147" s="309">
        <v>53.739330000000002</v>
      </c>
      <c r="G147" s="276">
        <f t="shared" si="13"/>
        <v>1074.7866000000001</v>
      </c>
      <c r="H147" s="275">
        <v>20</v>
      </c>
      <c r="I147" s="285"/>
    </row>
    <row r="148" spans="1:11" ht="18.75" customHeight="1">
      <c r="A148" s="271">
        <v>16</v>
      </c>
      <c r="B148" s="306" t="s">
        <v>218</v>
      </c>
      <c r="C148" s="296" t="s">
        <v>118</v>
      </c>
      <c r="D148" s="296"/>
      <c r="E148" s="280"/>
      <c r="F148" s="309"/>
      <c r="G148" s="276">
        <f t="shared" ref="G148:G149" si="14">H148*F148</f>
        <v>0</v>
      </c>
      <c r="H148" s="275">
        <v>100</v>
      </c>
      <c r="I148" s="285"/>
    </row>
    <row r="149" spans="1:11" ht="29.25" customHeight="1">
      <c r="A149" s="271">
        <v>17</v>
      </c>
      <c r="B149" s="268" t="s">
        <v>219</v>
      </c>
      <c r="C149" s="296" t="s">
        <v>118</v>
      </c>
      <c r="D149" s="296"/>
      <c r="E149" s="274">
        <v>46204</v>
      </c>
      <c r="F149" s="315">
        <v>0</v>
      </c>
      <c r="G149" s="276">
        <f t="shared" si="14"/>
        <v>0</v>
      </c>
      <c r="H149" s="275">
        <v>175</v>
      </c>
      <c r="I149" s="285"/>
    </row>
    <row r="150" spans="1:11" ht="31.5" customHeight="1">
      <c r="A150" s="271">
        <v>19</v>
      </c>
      <c r="B150" s="306" t="s">
        <v>221</v>
      </c>
      <c r="C150" s="296" t="s">
        <v>118</v>
      </c>
      <c r="D150" s="316"/>
      <c r="E150" s="274">
        <v>46204</v>
      </c>
      <c r="F150" s="309">
        <v>0</v>
      </c>
      <c r="G150" s="276">
        <f t="shared" ref="G150:G153" si="15">F150*H150</f>
        <v>0</v>
      </c>
      <c r="H150" s="275">
        <v>189</v>
      </c>
      <c r="I150" s="285"/>
    </row>
    <row r="151" spans="1:11" ht="31.5" customHeight="1">
      <c r="A151" s="271">
        <v>20</v>
      </c>
      <c r="B151" s="306" t="s">
        <v>222</v>
      </c>
      <c r="C151" s="296" t="s">
        <v>118</v>
      </c>
      <c r="D151" s="296"/>
      <c r="E151" s="274">
        <v>46296</v>
      </c>
      <c r="F151" s="275">
        <v>1.31</v>
      </c>
      <c r="G151" s="276">
        <f t="shared" si="15"/>
        <v>4528.67</v>
      </c>
      <c r="H151" s="275">
        <v>3457</v>
      </c>
      <c r="I151" s="285"/>
    </row>
    <row r="152" spans="1:11" ht="39">
      <c r="A152" s="271">
        <v>21</v>
      </c>
      <c r="B152" s="306" t="s">
        <v>223</v>
      </c>
      <c r="C152" s="296" t="s">
        <v>118</v>
      </c>
      <c r="D152" s="296"/>
      <c r="E152" s="274">
        <v>46296</v>
      </c>
      <c r="F152" s="275">
        <v>3.54</v>
      </c>
      <c r="G152" s="276">
        <f t="shared" si="15"/>
        <v>3568.32</v>
      </c>
      <c r="H152" s="275">
        <v>1008</v>
      </c>
      <c r="I152" s="285"/>
    </row>
    <row r="153" spans="1:11" ht="31.5" customHeight="1">
      <c r="A153" s="271">
        <v>22</v>
      </c>
      <c r="B153" s="306" t="s">
        <v>224</v>
      </c>
      <c r="C153" s="296" t="s">
        <v>118</v>
      </c>
      <c r="D153" s="296"/>
      <c r="E153" s="274">
        <v>46508</v>
      </c>
      <c r="F153" s="275">
        <v>1.46</v>
      </c>
      <c r="G153" s="276">
        <f t="shared" si="15"/>
        <v>134.32</v>
      </c>
      <c r="H153" s="275">
        <v>92</v>
      </c>
      <c r="I153" s="285"/>
    </row>
    <row r="154" spans="1:11" ht="15">
      <c r="A154" s="271">
        <v>24</v>
      </c>
      <c r="B154" s="306" t="s">
        <v>226</v>
      </c>
      <c r="C154" s="296" t="s">
        <v>118</v>
      </c>
      <c r="D154" s="296"/>
      <c r="E154" s="274"/>
      <c r="F154" s="276">
        <v>948</v>
      </c>
      <c r="G154" s="276">
        <f t="shared" ref="G154:G155" si="16">H154*F154</f>
        <v>3792</v>
      </c>
      <c r="H154" s="275">
        <v>4</v>
      </c>
      <c r="I154" s="285"/>
    </row>
    <row r="155" spans="1:11" ht="20.25" customHeight="1">
      <c r="A155" s="271">
        <v>25</v>
      </c>
      <c r="B155" s="301" t="s">
        <v>227</v>
      </c>
      <c r="C155" s="296" t="s">
        <v>23</v>
      </c>
      <c r="D155" s="316"/>
      <c r="E155" s="281">
        <v>46419</v>
      </c>
      <c r="F155" s="275">
        <v>25.79</v>
      </c>
      <c r="G155" s="276">
        <f t="shared" si="16"/>
        <v>851.06999999999994</v>
      </c>
      <c r="H155" s="275">
        <v>33</v>
      </c>
      <c r="I155" s="285"/>
    </row>
    <row r="156" spans="1:11" ht="32.25" customHeight="1">
      <c r="A156" s="271">
        <v>27</v>
      </c>
      <c r="B156" s="317" t="s">
        <v>229</v>
      </c>
      <c r="C156" s="316" t="s">
        <v>230</v>
      </c>
      <c r="D156" s="316" t="s">
        <v>231</v>
      </c>
      <c r="E156" s="318">
        <v>46388</v>
      </c>
      <c r="F156" s="319">
        <v>774.66</v>
      </c>
      <c r="G156" s="276">
        <f t="shared" ref="G156:G161" si="17">F156*H156</f>
        <v>1549.32</v>
      </c>
      <c r="H156" s="309">
        <v>2</v>
      </c>
      <c r="I156" s="285"/>
      <c r="J156" s="31"/>
      <c r="K156" s="59"/>
    </row>
    <row r="157" spans="1:11" ht="34.5" customHeight="1">
      <c r="A157" s="271">
        <v>28</v>
      </c>
      <c r="B157" s="317" t="s">
        <v>232</v>
      </c>
      <c r="C157" s="316" t="s">
        <v>230</v>
      </c>
      <c r="D157" s="316" t="s">
        <v>231</v>
      </c>
      <c r="E157" s="318">
        <v>46447</v>
      </c>
      <c r="F157" s="319">
        <v>774.66166699999997</v>
      </c>
      <c r="G157" s="276">
        <f t="shared" si="17"/>
        <v>4647.970002</v>
      </c>
      <c r="H157" s="309">
        <v>6</v>
      </c>
      <c r="I157" s="285"/>
      <c r="J157" s="31"/>
      <c r="K157" s="59"/>
    </row>
    <row r="158" spans="1:11" ht="34.5" customHeight="1">
      <c r="A158" s="271">
        <v>29</v>
      </c>
      <c r="B158" s="317" t="s">
        <v>233</v>
      </c>
      <c r="C158" s="316" t="s">
        <v>230</v>
      </c>
      <c r="D158" s="316" t="s">
        <v>61</v>
      </c>
      <c r="E158" s="318">
        <v>46174</v>
      </c>
      <c r="F158" s="319">
        <v>216.33799999999999</v>
      </c>
      <c r="G158" s="276">
        <f t="shared" si="17"/>
        <v>1081.69</v>
      </c>
      <c r="H158" s="309">
        <v>5</v>
      </c>
      <c r="I158" s="285"/>
      <c r="J158" s="31"/>
      <c r="K158" s="59"/>
    </row>
    <row r="159" spans="1:11" ht="64.5" customHeight="1">
      <c r="A159" s="271">
        <v>30</v>
      </c>
      <c r="B159" s="317" t="s">
        <v>234</v>
      </c>
      <c r="C159" s="316" t="s">
        <v>230</v>
      </c>
      <c r="D159" s="316" t="s">
        <v>231</v>
      </c>
      <c r="E159" s="320">
        <v>46327</v>
      </c>
      <c r="F159" s="319">
        <v>850.47</v>
      </c>
      <c r="G159" s="276">
        <f t="shared" si="17"/>
        <v>850.47</v>
      </c>
      <c r="H159" s="309">
        <v>1</v>
      </c>
      <c r="I159" s="285"/>
      <c r="J159" s="31"/>
      <c r="K159" s="59"/>
    </row>
    <row r="160" spans="1:11" ht="33" customHeight="1">
      <c r="A160" s="271">
        <v>31</v>
      </c>
      <c r="B160" s="317" t="s">
        <v>235</v>
      </c>
      <c r="C160" s="316" t="s">
        <v>230</v>
      </c>
      <c r="D160" s="316" t="s">
        <v>231</v>
      </c>
      <c r="E160" s="320">
        <v>46357</v>
      </c>
      <c r="F160" s="319">
        <v>1244.55</v>
      </c>
      <c r="G160" s="276">
        <f t="shared" si="17"/>
        <v>1244.55</v>
      </c>
      <c r="H160" s="309">
        <v>1</v>
      </c>
      <c r="I160" s="285">
        <v>25</v>
      </c>
      <c r="J160" s="31"/>
      <c r="K160" s="59"/>
    </row>
    <row r="161" spans="1:11" ht="19.5" customHeight="1">
      <c r="A161" s="271">
        <v>32</v>
      </c>
      <c r="B161" s="317" t="s">
        <v>370</v>
      </c>
      <c r="C161" s="316" t="s">
        <v>230</v>
      </c>
      <c r="D161" s="316" t="s">
        <v>231</v>
      </c>
      <c r="E161" s="318">
        <v>46082</v>
      </c>
      <c r="F161" s="319">
        <v>500</v>
      </c>
      <c r="G161" s="276">
        <f t="shared" si="17"/>
        <v>2000</v>
      </c>
      <c r="H161" s="309">
        <v>4</v>
      </c>
      <c r="I161" s="285">
        <v>100</v>
      </c>
      <c r="J161" s="31"/>
      <c r="K161" s="59"/>
    </row>
    <row r="162" spans="1:11" ht="18.75" customHeight="1">
      <c r="A162" s="271">
        <v>33</v>
      </c>
      <c r="B162" s="302" t="s">
        <v>236</v>
      </c>
      <c r="C162" s="316" t="s">
        <v>118</v>
      </c>
      <c r="D162" s="316"/>
      <c r="E162" s="316"/>
      <c r="F162" s="319">
        <v>65</v>
      </c>
      <c r="G162" s="276">
        <f t="shared" ref="G162:G163" si="18">H162*F162</f>
        <v>1300</v>
      </c>
      <c r="H162" s="309">
        <v>20</v>
      </c>
      <c r="I162" s="285"/>
      <c r="J162" s="31"/>
      <c r="K162" s="59"/>
    </row>
    <row r="163" spans="1:11" ht="18.75" customHeight="1">
      <c r="A163" s="271">
        <v>34</v>
      </c>
      <c r="B163" s="302" t="s">
        <v>237</v>
      </c>
      <c r="C163" s="316" t="s">
        <v>118</v>
      </c>
      <c r="D163" s="316"/>
      <c r="E163" s="316"/>
      <c r="F163" s="319">
        <v>150</v>
      </c>
      <c r="G163" s="276">
        <f t="shared" si="18"/>
        <v>1500</v>
      </c>
      <c r="H163" s="309">
        <v>10</v>
      </c>
      <c r="I163" s="285"/>
      <c r="J163" s="31"/>
      <c r="K163" s="59"/>
    </row>
    <row r="164" spans="1:11" ht="24" customHeight="1">
      <c r="A164" s="271"/>
      <c r="B164" s="321" t="s">
        <v>238</v>
      </c>
      <c r="C164" s="305"/>
      <c r="D164" s="305"/>
      <c r="E164" s="305"/>
      <c r="F164" s="305"/>
      <c r="G164" s="322"/>
      <c r="H164" s="309"/>
      <c r="I164" s="323"/>
      <c r="J164" s="31"/>
      <c r="K164" s="59">
        <v>0</v>
      </c>
    </row>
    <row r="165" spans="1:11" ht="15.95" customHeight="1">
      <c r="A165" s="324">
        <v>1</v>
      </c>
      <c r="B165" s="325" t="s">
        <v>354</v>
      </c>
      <c r="C165" s="326" t="s">
        <v>118</v>
      </c>
      <c r="D165" s="327"/>
      <c r="E165" s="328"/>
      <c r="F165" s="329">
        <v>255.99</v>
      </c>
      <c r="G165" s="330">
        <f t="shared" ref="G165:G167" si="19">F165*H165</f>
        <v>12799.5</v>
      </c>
      <c r="H165" s="309">
        <v>50</v>
      </c>
      <c r="I165" s="331"/>
    </row>
    <row r="166" spans="1:11" ht="15.95" customHeight="1">
      <c r="A166" s="324">
        <v>2</v>
      </c>
      <c r="B166" s="332" t="s">
        <v>239</v>
      </c>
      <c r="C166" s="326" t="s">
        <v>23</v>
      </c>
      <c r="D166" s="327"/>
      <c r="E166" s="328"/>
      <c r="F166" s="329">
        <v>60</v>
      </c>
      <c r="G166" s="330">
        <f t="shared" si="19"/>
        <v>9060</v>
      </c>
      <c r="H166" s="309">
        <v>151</v>
      </c>
      <c r="I166" s="331"/>
    </row>
    <row r="167" spans="1:11" ht="15.95" customHeight="1">
      <c r="A167" s="324">
        <v>3</v>
      </c>
      <c r="B167" s="332" t="s">
        <v>240</v>
      </c>
      <c r="C167" s="326" t="s">
        <v>20</v>
      </c>
      <c r="D167" s="267" t="s">
        <v>241</v>
      </c>
      <c r="E167" s="328"/>
      <c r="F167" s="329">
        <v>28</v>
      </c>
      <c r="G167" s="330">
        <f t="shared" si="19"/>
        <v>14000</v>
      </c>
      <c r="H167" s="309">
        <v>500</v>
      </c>
      <c r="I167" s="285">
        <v>15000</v>
      </c>
    </row>
    <row r="168" spans="1:11" ht="15.95" customHeight="1">
      <c r="A168" s="324">
        <v>4</v>
      </c>
      <c r="B168" s="302" t="s">
        <v>242</v>
      </c>
      <c r="C168" s="326" t="s">
        <v>118</v>
      </c>
      <c r="D168" s="327"/>
      <c r="E168" s="328">
        <v>46082</v>
      </c>
      <c r="F168" s="326">
        <v>36.28</v>
      </c>
      <c r="G168" s="330">
        <f t="shared" ref="G168:G245" si="20">H168*F168</f>
        <v>108.84</v>
      </c>
      <c r="H168" s="326">
        <v>3</v>
      </c>
      <c r="I168" s="331"/>
    </row>
    <row r="169" spans="1:11" ht="15.95" customHeight="1">
      <c r="A169" s="324">
        <v>5</v>
      </c>
      <c r="B169" s="333" t="s">
        <v>243</v>
      </c>
      <c r="C169" s="334" t="s">
        <v>20</v>
      </c>
      <c r="D169" s="335" t="s">
        <v>244</v>
      </c>
      <c r="E169" s="336">
        <v>46419</v>
      </c>
      <c r="F169" s="276">
        <v>63.4</v>
      </c>
      <c r="G169" s="330">
        <f t="shared" si="20"/>
        <v>380.4</v>
      </c>
      <c r="H169" s="275">
        <v>6</v>
      </c>
      <c r="I169" s="285">
        <v>96</v>
      </c>
    </row>
    <row r="170" spans="1:11" ht="15.95" customHeight="1">
      <c r="A170" s="324">
        <v>6</v>
      </c>
      <c r="B170" s="333" t="s">
        <v>245</v>
      </c>
      <c r="C170" s="334" t="s">
        <v>20</v>
      </c>
      <c r="D170" s="335" t="s">
        <v>246</v>
      </c>
      <c r="E170" s="336"/>
      <c r="F170" s="276">
        <v>393.94</v>
      </c>
      <c r="G170" s="330">
        <f t="shared" si="20"/>
        <v>787.88</v>
      </c>
      <c r="H170" s="275">
        <v>2</v>
      </c>
      <c r="I170" s="285">
        <v>110</v>
      </c>
    </row>
    <row r="171" spans="1:11" ht="15.95" customHeight="1">
      <c r="A171" s="324">
        <v>7</v>
      </c>
      <c r="B171" s="333" t="s">
        <v>249</v>
      </c>
      <c r="C171" s="334" t="s">
        <v>20</v>
      </c>
      <c r="D171" s="335" t="s">
        <v>248</v>
      </c>
      <c r="E171" s="336">
        <v>46388</v>
      </c>
      <c r="F171" s="276">
        <v>28.22</v>
      </c>
      <c r="G171" s="276">
        <f t="shared" si="20"/>
        <v>2680.9</v>
      </c>
      <c r="H171" s="275">
        <v>95</v>
      </c>
      <c r="I171" s="285">
        <v>9500</v>
      </c>
    </row>
    <row r="172" spans="1:11" ht="30">
      <c r="A172" s="324">
        <v>8</v>
      </c>
      <c r="B172" s="333" t="s">
        <v>371</v>
      </c>
      <c r="C172" s="334" t="s">
        <v>20</v>
      </c>
      <c r="D172" s="335" t="s">
        <v>372</v>
      </c>
      <c r="E172" s="336">
        <v>46054</v>
      </c>
      <c r="F172" s="276">
        <v>150</v>
      </c>
      <c r="G172" s="276">
        <f t="shared" si="20"/>
        <v>3000</v>
      </c>
      <c r="H172" s="275">
        <v>20</v>
      </c>
      <c r="I172" s="285">
        <v>0</v>
      </c>
    </row>
    <row r="173" spans="1:11" ht="15.95" customHeight="1">
      <c r="A173" s="324">
        <v>9</v>
      </c>
      <c r="B173" s="333" t="s">
        <v>252</v>
      </c>
      <c r="C173" s="334" t="s">
        <v>20</v>
      </c>
      <c r="D173" s="335" t="s">
        <v>37</v>
      </c>
      <c r="E173" s="336">
        <v>46631</v>
      </c>
      <c r="F173" s="276">
        <v>83.19</v>
      </c>
      <c r="G173" s="276">
        <f t="shared" si="20"/>
        <v>1663.8</v>
      </c>
      <c r="H173" s="275">
        <v>20</v>
      </c>
      <c r="I173" s="285">
        <v>200</v>
      </c>
    </row>
    <row r="174" spans="1:11" ht="15.95" customHeight="1">
      <c r="A174" s="324">
        <v>10</v>
      </c>
      <c r="B174" s="333" t="s">
        <v>382</v>
      </c>
      <c r="C174" s="334" t="s">
        <v>118</v>
      </c>
      <c r="D174" s="335" t="s">
        <v>231</v>
      </c>
      <c r="E174" s="336">
        <v>46296</v>
      </c>
      <c r="F174" s="276">
        <v>801.36</v>
      </c>
      <c r="G174" s="276">
        <f t="shared" si="20"/>
        <v>1602.72</v>
      </c>
      <c r="H174" s="275">
        <v>2</v>
      </c>
      <c r="I174" s="285">
        <v>30</v>
      </c>
    </row>
    <row r="175" spans="1:11" ht="15.95" customHeight="1">
      <c r="A175" s="324">
        <v>11</v>
      </c>
      <c r="B175" s="333" t="s">
        <v>255</v>
      </c>
      <c r="C175" s="334" t="s">
        <v>20</v>
      </c>
      <c r="D175" s="335" t="s">
        <v>248</v>
      </c>
      <c r="E175" s="336">
        <v>46419</v>
      </c>
      <c r="F175" s="276">
        <v>205.6</v>
      </c>
      <c r="G175" s="276">
        <f t="shared" si="20"/>
        <v>205.6</v>
      </c>
      <c r="H175" s="275">
        <v>1</v>
      </c>
      <c r="I175" s="285">
        <v>80</v>
      </c>
    </row>
    <row r="176" spans="1:11" ht="15.95" customHeight="1">
      <c r="A176" s="324">
        <v>12</v>
      </c>
      <c r="B176" s="333" t="s">
        <v>355</v>
      </c>
      <c r="C176" s="334" t="s">
        <v>118</v>
      </c>
      <c r="D176" s="335"/>
      <c r="E176" s="336"/>
      <c r="F176" s="276">
        <v>14.89</v>
      </c>
      <c r="G176" s="276">
        <f t="shared" si="20"/>
        <v>297.8</v>
      </c>
      <c r="H176" s="275">
        <v>20</v>
      </c>
      <c r="I176" s="285"/>
    </row>
    <row r="177" spans="1:9" ht="15.95" customHeight="1">
      <c r="A177" s="324">
        <v>13</v>
      </c>
      <c r="B177" s="333" t="s">
        <v>256</v>
      </c>
      <c r="C177" s="334" t="s">
        <v>23</v>
      </c>
      <c r="D177" s="335" t="s">
        <v>101</v>
      </c>
      <c r="E177" s="336">
        <v>46357</v>
      </c>
      <c r="F177" s="276">
        <v>370</v>
      </c>
      <c r="G177" s="276">
        <f t="shared" si="20"/>
        <v>74000</v>
      </c>
      <c r="H177" s="275">
        <v>200</v>
      </c>
      <c r="I177" s="285"/>
    </row>
    <row r="178" spans="1:9" ht="15.95" customHeight="1">
      <c r="A178" s="324">
        <v>14</v>
      </c>
      <c r="B178" s="337" t="s">
        <v>373</v>
      </c>
      <c r="C178" s="334" t="s">
        <v>23</v>
      </c>
      <c r="D178" s="335" t="s">
        <v>374</v>
      </c>
      <c r="E178" s="338"/>
      <c r="F178" s="308">
        <v>1500</v>
      </c>
      <c r="G178" s="276">
        <f t="shared" si="20"/>
        <v>3000</v>
      </c>
      <c r="H178" s="309">
        <v>2</v>
      </c>
      <c r="I178" s="285"/>
    </row>
    <row r="179" spans="1:9" ht="15.95" customHeight="1">
      <c r="A179" s="324">
        <v>15</v>
      </c>
      <c r="B179" s="337" t="s">
        <v>257</v>
      </c>
      <c r="C179" s="334" t="s">
        <v>20</v>
      </c>
      <c r="D179" s="335" t="s">
        <v>248</v>
      </c>
      <c r="E179" s="338">
        <v>46357</v>
      </c>
      <c r="F179" s="308">
        <v>51.54</v>
      </c>
      <c r="G179" s="276">
        <f t="shared" si="20"/>
        <v>51.54</v>
      </c>
      <c r="H179" s="309">
        <v>1</v>
      </c>
      <c r="I179" s="285">
        <v>80</v>
      </c>
    </row>
    <row r="180" spans="1:9" ht="15.95" customHeight="1">
      <c r="A180" s="324">
        <v>16</v>
      </c>
      <c r="B180" s="337" t="s">
        <v>258</v>
      </c>
      <c r="C180" s="334" t="s">
        <v>20</v>
      </c>
      <c r="D180" s="335" t="s">
        <v>259</v>
      </c>
      <c r="E180" s="338">
        <v>46053</v>
      </c>
      <c r="F180" s="308">
        <v>28.966000000000001</v>
      </c>
      <c r="G180" s="276">
        <f t="shared" si="20"/>
        <v>289.66000000000003</v>
      </c>
      <c r="H180" s="309">
        <v>10</v>
      </c>
      <c r="I180" s="285">
        <v>280</v>
      </c>
    </row>
    <row r="181" spans="1:9" ht="15.95" customHeight="1">
      <c r="A181" s="324">
        <v>17</v>
      </c>
      <c r="B181" s="337" t="s">
        <v>260</v>
      </c>
      <c r="C181" s="334" t="s">
        <v>20</v>
      </c>
      <c r="D181" s="335" t="s">
        <v>261</v>
      </c>
      <c r="E181" s="338">
        <v>46023</v>
      </c>
      <c r="F181" s="308">
        <v>444.13900000000001</v>
      </c>
      <c r="G181" s="276">
        <f t="shared" si="20"/>
        <v>4441.3900000000003</v>
      </c>
      <c r="H181" s="309">
        <v>10</v>
      </c>
      <c r="I181" s="285">
        <v>980</v>
      </c>
    </row>
    <row r="182" spans="1:9" ht="15.95" customHeight="1">
      <c r="A182" s="324">
        <v>18</v>
      </c>
      <c r="B182" s="302" t="s">
        <v>383</v>
      </c>
      <c r="C182" s="334" t="s">
        <v>20</v>
      </c>
      <c r="D182" s="335" t="s">
        <v>71</v>
      </c>
      <c r="E182" s="339">
        <v>46235</v>
      </c>
      <c r="F182" s="308">
        <v>100</v>
      </c>
      <c r="G182" s="276">
        <f t="shared" si="20"/>
        <v>200</v>
      </c>
      <c r="H182" s="309">
        <v>2</v>
      </c>
      <c r="I182" s="285">
        <v>100</v>
      </c>
    </row>
    <row r="183" spans="1:9" ht="15.95" customHeight="1">
      <c r="A183" s="324">
        <v>19</v>
      </c>
      <c r="B183" s="302" t="s">
        <v>383</v>
      </c>
      <c r="C183" s="334" t="s">
        <v>20</v>
      </c>
      <c r="D183" s="335" t="s">
        <v>71</v>
      </c>
      <c r="E183" s="338">
        <v>46357</v>
      </c>
      <c r="F183" s="308">
        <v>100</v>
      </c>
      <c r="G183" s="276">
        <f t="shared" si="20"/>
        <v>200</v>
      </c>
      <c r="H183" s="309">
        <v>2</v>
      </c>
      <c r="I183" s="285">
        <v>100</v>
      </c>
    </row>
    <row r="184" spans="1:9" ht="15.95" customHeight="1">
      <c r="A184" s="324">
        <v>20</v>
      </c>
      <c r="B184" s="302" t="s">
        <v>268</v>
      </c>
      <c r="C184" s="334" t="s">
        <v>47</v>
      </c>
      <c r="D184" s="335" t="s">
        <v>248</v>
      </c>
      <c r="E184" s="309"/>
      <c r="F184" s="308">
        <v>1208.98</v>
      </c>
      <c r="G184" s="276">
        <f t="shared" si="20"/>
        <v>1208.98</v>
      </c>
      <c r="H184" s="309">
        <v>1</v>
      </c>
      <c r="I184" s="285">
        <v>100</v>
      </c>
    </row>
    <row r="185" spans="1:9" ht="15.95" customHeight="1">
      <c r="A185" s="324">
        <v>21</v>
      </c>
      <c r="B185" s="302" t="s">
        <v>271</v>
      </c>
      <c r="C185" s="334" t="s">
        <v>20</v>
      </c>
      <c r="D185" s="335" t="s">
        <v>241</v>
      </c>
      <c r="E185" s="338">
        <v>45992</v>
      </c>
      <c r="F185" s="308">
        <v>276.39</v>
      </c>
      <c r="G185" s="276">
        <f t="shared" si="20"/>
        <v>3869.46</v>
      </c>
      <c r="H185" s="309">
        <v>14</v>
      </c>
      <c r="I185" s="331"/>
    </row>
    <row r="186" spans="1:9" ht="30.75" customHeight="1">
      <c r="A186" s="324">
        <v>22</v>
      </c>
      <c r="B186" s="302" t="s">
        <v>272</v>
      </c>
      <c r="C186" s="326" t="s">
        <v>23</v>
      </c>
      <c r="D186" s="267" t="s">
        <v>273</v>
      </c>
      <c r="E186" s="340">
        <v>45962</v>
      </c>
      <c r="F186" s="329">
        <v>200</v>
      </c>
      <c r="G186" s="330">
        <f t="shared" si="20"/>
        <v>29000</v>
      </c>
      <c r="H186" s="326">
        <v>145</v>
      </c>
      <c r="I186" s="331"/>
    </row>
    <row r="187" spans="1:9" ht="30" customHeight="1">
      <c r="A187" s="324">
        <v>23</v>
      </c>
      <c r="B187" s="302" t="s">
        <v>274</v>
      </c>
      <c r="C187" s="334" t="s">
        <v>23</v>
      </c>
      <c r="D187" s="335" t="s">
        <v>275</v>
      </c>
      <c r="E187" s="336">
        <v>46082</v>
      </c>
      <c r="F187" s="276">
        <v>200</v>
      </c>
      <c r="G187" s="330">
        <f t="shared" si="20"/>
        <v>9600</v>
      </c>
      <c r="H187" s="275">
        <v>48</v>
      </c>
      <c r="I187" s="285"/>
    </row>
    <row r="188" spans="1:9" ht="30.75" customHeight="1">
      <c r="A188" s="324">
        <v>24</v>
      </c>
      <c r="B188" s="302" t="s">
        <v>274</v>
      </c>
      <c r="C188" s="334" t="s">
        <v>23</v>
      </c>
      <c r="D188" s="335" t="s">
        <v>275</v>
      </c>
      <c r="E188" s="339">
        <v>46082</v>
      </c>
      <c r="F188" s="308">
        <v>200</v>
      </c>
      <c r="G188" s="330">
        <f t="shared" si="20"/>
        <v>42400</v>
      </c>
      <c r="H188" s="309">
        <v>212</v>
      </c>
      <c r="I188" s="331"/>
    </row>
    <row r="189" spans="1:9" ht="15">
      <c r="A189" s="324">
        <v>25</v>
      </c>
      <c r="B189" s="302" t="s">
        <v>276</v>
      </c>
      <c r="C189" s="326" t="s">
        <v>20</v>
      </c>
      <c r="D189" s="267"/>
      <c r="E189" s="327"/>
      <c r="F189" s="329">
        <v>50</v>
      </c>
      <c r="G189" s="330">
        <f t="shared" si="20"/>
        <v>55250</v>
      </c>
      <c r="H189" s="326">
        <v>1105</v>
      </c>
      <c r="I189" s="331"/>
    </row>
    <row r="190" spans="1:9" ht="15">
      <c r="A190" s="324">
        <v>26</v>
      </c>
      <c r="B190" s="341" t="s">
        <v>277</v>
      </c>
      <c r="C190" s="334" t="s">
        <v>118</v>
      </c>
      <c r="D190" s="335" t="s">
        <v>278</v>
      </c>
      <c r="E190" s="342"/>
      <c r="F190" s="308">
        <v>1300</v>
      </c>
      <c r="G190" s="330">
        <f t="shared" si="20"/>
        <v>130000</v>
      </c>
      <c r="H190" s="309">
        <v>100</v>
      </c>
      <c r="I190" s="331"/>
    </row>
    <row r="191" spans="1:9" ht="15">
      <c r="A191" s="324">
        <v>27</v>
      </c>
      <c r="B191" s="333" t="s">
        <v>279</v>
      </c>
      <c r="C191" s="334" t="s">
        <v>20</v>
      </c>
      <c r="D191" s="335" t="s">
        <v>40</v>
      </c>
      <c r="E191" s="336">
        <v>46569</v>
      </c>
      <c r="F191" s="276">
        <v>47.22</v>
      </c>
      <c r="G191" s="330">
        <f t="shared" si="20"/>
        <v>9774.5399999999991</v>
      </c>
      <c r="H191" s="275">
        <v>207</v>
      </c>
      <c r="I191" s="285">
        <v>4140</v>
      </c>
    </row>
    <row r="192" spans="1:9" ht="17.25" customHeight="1">
      <c r="A192" s="324">
        <v>28</v>
      </c>
      <c r="B192" s="333" t="s">
        <v>280</v>
      </c>
      <c r="C192" s="334" t="s">
        <v>20</v>
      </c>
      <c r="D192" s="335" t="s">
        <v>248</v>
      </c>
      <c r="E192" s="336">
        <v>46784</v>
      </c>
      <c r="F192" s="276">
        <v>134.38</v>
      </c>
      <c r="G192" s="330">
        <f t="shared" si="20"/>
        <v>2015.6999999999998</v>
      </c>
      <c r="H192" s="275">
        <v>15</v>
      </c>
      <c r="I192" s="285">
        <v>1500</v>
      </c>
    </row>
    <row r="193" spans="1:9" ht="15">
      <c r="A193" s="324">
        <v>29</v>
      </c>
      <c r="B193" s="333" t="s">
        <v>281</v>
      </c>
      <c r="C193" s="334" t="s">
        <v>266</v>
      </c>
      <c r="D193" s="335"/>
      <c r="E193" s="336">
        <v>46447</v>
      </c>
      <c r="F193" s="276">
        <v>19.71</v>
      </c>
      <c r="G193" s="330">
        <f t="shared" si="20"/>
        <v>1084.05</v>
      </c>
      <c r="H193" s="275">
        <v>55</v>
      </c>
      <c r="I193" s="285"/>
    </row>
    <row r="194" spans="1:9" ht="15">
      <c r="A194" s="324">
        <v>30</v>
      </c>
      <c r="B194" s="333" t="s">
        <v>356</v>
      </c>
      <c r="C194" s="334" t="s">
        <v>118</v>
      </c>
      <c r="D194" s="335"/>
      <c r="E194" s="336"/>
      <c r="F194" s="276">
        <v>643.08000000000004</v>
      </c>
      <c r="G194" s="330">
        <f t="shared" si="20"/>
        <v>19292.400000000001</v>
      </c>
      <c r="H194" s="275">
        <v>30</v>
      </c>
      <c r="I194" s="285"/>
    </row>
    <row r="195" spans="1:9" ht="16.5" customHeight="1">
      <c r="A195" s="324">
        <v>31</v>
      </c>
      <c r="B195" s="333" t="s">
        <v>282</v>
      </c>
      <c r="C195" s="334" t="s">
        <v>118</v>
      </c>
      <c r="D195" s="335" t="s">
        <v>40</v>
      </c>
      <c r="E195" s="336"/>
      <c r="F195" s="276">
        <v>270</v>
      </c>
      <c r="G195" s="330">
        <f t="shared" si="20"/>
        <v>18900</v>
      </c>
      <c r="H195" s="275">
        <v>70</v>
      </c>
      <c r="I195" s="285"/>
    </row>
    <row r="196" spans="1:9" ht="15">
      <c r="A196" s="324">
        <v>32</v>
      </c>
      <c r="B196" s="333" t="s">
        <v>283</v>
      </c>
      <c r="C196" s="334" t="s">
        <v>20</v>
      </c>
      <c r="D196" s="335" t="s">
        <v>248</v>
      </c>
      <c r="E196" s="336">
        <v>46235</v>
      </c>
      <c r="F196" s="276">
        <v>94.96</v>
      </c>
      <c r="G196" s="276">
        <f t="shared" si="20"/>
        <v>8641.3599999999988</v>
      </c>
      <c r="H196" s="275">
        <v>91</v>
      </c>
      <c r="I196" s="285">
        <v>9100</v>
      </c>
    </row>
    <row r="197" spans="1:9" ht="15">
      <c r="A197" s="324">
        <v>33</v>
      </c>
      <c r="B197" s="333" t="s">
        <v>284</v>
      </c>
      <c r="C197" s="334" t="s">
        <v>20</v>
      </c>
      <c r="D197" s="335" t="s">
        <v>40</v>
      </c>
      <c r="E197" s="336">
        <v>46113</v>
      </c>
      <c r="F197" s="276">
        <v>98.93</v>
      </c>
      <c r="G197" s="276">
        <f t="shared" si="20"/>
        <v>16125.590000000002</v>
      </c>
      <c r="H197" s="275">
        <v>163</v>
      </c>
      <c r="I197" s="285">
        <v>3260</v>
      </c>
    </row>
    <row r="198" spans="1:9" ht="15.95" customHeight="1">
      <c r="A198" s="324">
        <v>34</v>
      </c>
      <c r="B198" s="343" t="s">
        <v>285</v>
      </c>
      <c r="C198" s="334" t="s">
        <v>23</v>
      </c>
      <c r="D198" s="335" t="s">
        <v>286</v>
      </c>
      <c r="E198" s="336"/>
      <c r="F198" s="276">
        <v>200</v>
      </c>
      <c r="G198" s="276">
        <f t="shared" si="20"/>
        <v>21600</v>
      </c>
      <c r="H198" s="275">
        <v>108</v>
      </c>
      <c r="I198" s="285"/>
    </row>
    <row r="199" spans="1:9" ht="15.95" customHeight="1">
      <c r="A199" s="324">
        <v>35</v>
      </c>
      <c r="B199" s="333" t="s">
        <v>357</v>
      </c>
      <c r="C199" s="334" t="s">
        <v>118</v>
      </c>
      <c r="D199" s="335"/>
      <c r="E199" s="336"/>
      <c r="F199" s="276">
        <v>5.39</v>
      </c>
      <c r="G199" s="276">
        <f t="shared" si="20"/>
        <v>657.57999999999993</v>
      </c>
      <c r="H199" s="275">
        <v>122</v>
      </c>
      <c r="I199" s="285"/>
    </row>
    <row r="200" spans="1:9" ht="15.95" customHeight="1">
      <c r="A200" s="324">
        <v>36</v>
      </c>
      <c r="B200" s="333" t="s">
        <v>287</v>
      </c>
      <c r="C200" s="334" t="s">
        <v>20</v>
      </c>
      <c r="D200" s="335" t="s">
        <v>37</v>
      </c>
      <c r="E200" s="336"/>
      <c r="F200" s="276">
        <v>314.45</v>
      </c>
      <c r="G200" s="276">
        <f t="shared" si="20"/>
        <v>314.45</v>
      </c>
      <c r="H200" s="275">
        <v>1</v>
      </c>
      <c r="I200" s="285">
        <v>1</v>
      </c>
    </row>
    <row r="201" spans="1:9" ht="15.95" customHeight="1">
      <c r="A201" s="324">
        <v>37</v>
      </c>
      <c r="B201" s="333" t="s">
        <v>375</v>
      </c>
      <c r="C201" s="334" t="s">
        <v>23</v>
      </c>
      <c r="D201" s="335"/>
      <c r="E201" s="336">
        <v>46143</v>
      </c>
      <c r="F201" s="276">
        <v>80</v>
      </c>
      <c r="G201" s="276">
        <f t="shared" si="20"/>
        <v>14400</v>
      </c>
      <c r="H201" s="275">
        <v>180</v>
      </c>
      <c r="I201" s="285"/>
    </row>
    <row r="202" spans="1:9" ht="15.95" customHeight="1">
      <c r="A202" s="324">
        <v>38</v>
      </c>
      <c r="B202" s="333" t="s">
        <v>288</v>
      </c>
      <c r="C202" s="334" t="s">
        <v>20</v>
      </c>
      <c r="D202" s="335" t="s">
        <v>251</v>
      </c>
      <c r="E202" s="336">
        <v>46722</v>
      </c>
      <c r="F202" s="276">
        <v>473.92</v>
      </c>
      <c r="G202" s="276">
        <f t="shared" si="20"/>
        <v>12321.92</v>
      </c>
      <c r="H202" s="275">
        <v>26</v>
      </c>
      <c r="I202" s="285">
        <v>26000</v>
      </c>
    </row>
    <row r="203" spans="1:9" ht="15.95" customHeight="1">
      <c r="A203" s="324">
        <v>39</v>
      </c>
      <c r="B203" s="333" t="s">
        <v>289</v>
      </c>
      <c r="C203" s="334" t="s">
        <v>20</v>
      </c>
      <c r="D203" s="335" t="s">
        <v>251</v>
      </c>
      <c r="E203" s="336">
        <v>46388</v>
      </c>
      <c r="F203" s="276">
        <v>520.04999999999995</v>
      </c>
      <c r="G203" s="276">
        <f t="shared" si="20"/>
        <v>7800.7499999999991</v>
      </c>
      <c r="H203" s="275">
        <v>15</v>
      </c>
      <c r="I203" s="285">
        <v>14230</v>
      </c>
    </row>
    <row r="204" spans="1:9" ht="15.95" customHeight="1">
      <c r="A204" s="324">
        <v>40</v>
      </c>
      <c r="B204" s="333" t="s">
        <v>290</v>
      </c>
      <c r="C204" s="334" t="s">
        <v>20</v>
      </c>
      <c r="D204" s="335" t="s">
        <v>71</v>
      </c>
      <c r="E204" s="336">
        <v>47119</v>
      </c>
      <c r="F204" s="276">
        <v>103.43</v>
      </c>
      <c r="G204" s="276">
        <f t="shared" si="20"/>
        <v>310.29000000000002</v>
      </c>
      <c r="H204" s="275">
        <v>3</v>
      </c>
      <c r="I204" s="285">
        <v>150</v>
      </c>
    </row>
    <row r="205" spans="1:9" ht="15.95" customHeight="1">
      <c r="A205" s="324">
        <v>41</v>
      </c>
      <c r="B205" s="344" t="s">
        <v>291</v>
      </c>
      <c r="C205" s="334" t="s">
        <v>20</v>
      </c>
      <c r="D205" s="335" t="s">
        <v>248</v>
      </c>
      <c r="E205" s="336"/>
      <c r="F205" s="276">
        <v>230</v>
      </c>
      <c r="G205" s="276">
        <f t="shared" si="20"/>
        <v>69000</v>
      </c>
      <c r="H205" s="275">
        <v>300</v>
      </c>
      <c r="I205" s="285">
        <v>30000</v>
      </c>
    </row>
    <row r="206" spans="1:9" ht="15.95" customHeight="1">
      <c r="A206" s="324">
        <v>42</v>
      </c>
      <c r="B206" s="333" t="s">
        <v>292</v>
      </c>
      <c r="C206" s="334" t="s">
        <v>118</v>
      </c>
      <c r="D206" s="335"/>
      <c r="E206" s="336">
        <v>46327</v>
      </c>
      <c r="F206" s="276">
        <v>37.630000000000003</v>
      </c>
      <c r="G206" s="276">
        <f t="shared" si="20"/>
        <v>3048.03</v>
      </c>
      <c r="H206" s="275">
        <v>81</v>
      </c>
      <c r="I206" s="285"/>
    </row>
    <row r="207" spans="1:9" ht="30">
      <c r="A207" s="324">
        <v>43</v>
      </c>
      <c r="B207" s="333" t="s">
        <v>294</v>
      </c>
      <c r="C207" s="334" t="s">
        <v>20</v>
      </c>
      <c r="D207" s="335" t="s">
        <v>248</v>
      </c>
      <c r="E207" s="336"/>
      <c r="F207" s="276">
        <v>1575.02</v>
      </c>
      <c r="G207" s="276">
        <f t="shared" si="20"/>
        <v>4725.0599999999995</v>
      </c>
      <c r="H207" s="275">
        <v>3</v>
      </c>
      <c r="I207" s="285">
        <v>300</v>
      </c>
    </row>
    <row r="208" spans="1:9" ht="15">
      <c r="A208" s="324">
        <v>444</v>
      </c>
      <c r="B208" s="333" t="s">
        <v>295</v>
      </c>
      <c r="C208" s="334" t="s">
        <v>20</v>
      </c>
      <c r="D208" s="335" t="s">
        <v>261</v>
      </c>
      <c r="E208" s="336">
        <v>46053</v>
      </c>
      <c r="F208" s="276">
        <v>101.38</v>
      </c>
      <c r="G208" s="276">
        <f t="shared" si="20"/>
        <v>506.9</v>
      </c>
      <c r="H208" s="275">
        <v>5</v>
      </c>
      <c r="I208" s="285">
        <v>490</v>
      </c>
    </row>
    <row r="209" spans="1:9" ht="15">
      <c r="A209" s="324">
        <v>45</v>
      </c>
      <c r="B209" s="333" t="s">
        <v>296</v>
      </c>
      <c r="C209" s="334" t="s">
        <v>20</v>
      </c>
      <c r="D209" s="335" t="s">
        <v>261</v>
      </c>
      <c r="E209" s="336">
        <v>46053</v>
      </c>
      <c r="F209" s="276">
        <v>108.13800000000001</v>
      </c>
      <c r="G209" s="276">
        <f t="shared" si="20"/>
        <v>540.69000000000005</v>
      </c>
      <c r="H209" s="275">
        <v>5</v>
      </c>
      <c r="I209" s="285">
        <v>490</v>
      </c>
    </row>
    <row r="210" spans="1:9" ht="15">
      <c r="A210" s="324">
        <v>46</v>
      </c>
      <c r="B210" s="333" t="s">
        <v>297</v>
      </c>
      <c r="C210" s="334" t="s">
        <v>20</v>
      </c>
      <c r="D210" s="335" t="s">
        <v>261</v>
      </c>
      <c r="E210" s="336">
        <v>46023</v>
      </c>
      <c r="F210" s="276">
        <v>137.58600000000001</v>
      </c>
      <c r="G210" s="276">
        <f t="shared" si="20"/>
        <v>687.93000000000006</v>
      </c>
      <c r="H210" s="275">
        <v>5</v>
      </c>
      <c r="I210" s="285">
        <v>490</v>
      </c>
    </row>
    <row r="211" spans="1:9" ht="15">
      <c r="A211" s="324">
        <v>47</v>
      </c>
      <c r="B211" s="333" t="s">
        <v>298</v>
      </c>
      <c r="C211" s="334" t="s">
        <v>20</v>
      </c>
      <c r="D211" s="335" t="s">
        <v>261</v>
      </c>
      <c r="E211" s="336">
        <v>46023</v>
      </c>
      <c r="F211" s="276">
        <v>292.07</v>
      </c>
      <c r="G211" s="276">
        <f t="shared" si="20"/>
        <v>2920.7</v>
      </c>
      <c r="H211" s="275">
        <v>10</v>
      </c>
      <c r="I211" s="285">
        <v>980</v>
      </c>
    </row>
    <row r="212" spans="1:9" ht="15">
      <c r="A212" s="324">
        <v>48</v>
      </c>
      <c r="B212" s="333" t="s">
        <v>299</v>
      </c>
      <c r="C212" s="334" t="s">
        <v>20</v>
      </c>
      <c r="D212" s="335" t="s">
        <v>248</v>
      </c>
      <c r="E212" s="336">
        <v>46082</v>
      </c>
      <c r="F212" s="276">
        <v>45.69</v>
      </c>
      <c r="G212" s="276">
        <f t="shared" si="20"/>
        <v>5802.63</v>
      </c>
      <c r="H212" s="275">
        <v>127</v>
      </c>
      <c r="I212" s="285">
        <v>12630</v>
      </c>
    </row>
    <row r="213" spans="1:9" ht="15.95" customHeight="1">
      <c r="A213" s="324">
        <v>49</v>
      </c>
      <c r="B213" s="333" t="s">
        <v>300</v>
      </c>
      <c r="C213" s="334" t="s">
        <v>20</v>
      </c>
      <c r="D213" s="335" t="s">
        <v>259</v>
      </c>
      <c r="E213" s="336">
        <v>46023</v>
      </c>
      <c r="F213" s="276">
        <v>76.900000000000006</v>
      </c>
      <c r="G213" s="276">
        <f t="shared" si="20"/>
        <v>4690.9000000000005</v>
      </c>
      <c r="H213" s="275">
        <v>61</v>
      </c>
      <c r="I213" s="285">
        <v>1708</v>
      </c>
    </row>
    <row r="214" spans="1:9" ht="15.95" customHeight="1">
      <c r="A214" s="324">
        <v>50</v>
      </c>
      <c r="B214" s="333" t="s">
        <v>301</v>
      </c>
      <c r="C214" s="334" t="s">
        <v>20</v>
      </c>
      <c r="D214" s="335" t="s">
        <v>259</v>
      </c>
      <c r="E214" s="336">
        <v>45962</v>
      </c>
      <c r="F214" s="276">
        <v>250</v>
      </c>
      <c r="G214" s="276">
        <f t="shared" si="20"/>
        <v>6500</v>
      </c>
      <c r="H214" s="275">
        <v>26</v>
      </c>
      <c r="I214" s="285"/>
    </row>
    <row r="215" spans="1:9" ht="15.95" customHeight="1">
      <c r="A215" s="324">
        <v>51</v>
      </c>
      <c r="B215" s="333" t="s">
        <v>303</v>
      </c>
      <c r="C215" s="334" t="s">
        <v>20</v>
      </c>
      <c r="D215" s="335" t="s">
        <v>248</v>
      </c>
      <c r="E215" s="336">
        <v>46023</v>
      </c>
      <c r="F215" s="276">
        <v>89.311000000000007</v>
      </c>
      <c r="G215" s="276">
        <f t="shared" si="20"/>
        <v>893.11000000000013</v>
      </c>
      <c r="H215" s="275">
        <v>10</v>
      </c>
      <c r="I215" s="285">
        <v>1000</v>
      </c>
    </row>
    <row r="216" spans="1:9" ht="15.95" customHeight="1">
      <c r="A216" s="324">
        <v>52</v>
      </c>
      <c r="B216" s="333" t="s">
        <v>304</v>
      </c>
      <c r="C216" s="334" t="s">
        <v>20</v>
      </c>
      <c r="D216" s="335" t="s">
        <v>248</v>
      </c>
      <c r="E216" s="336">
        <v>46023</v>
      </c>
      <c r="F216" s="276">
        <v>103.31100000000001</v>
      </c>
      <c r="G216" s="276">
        <f t="shared" si="20"/>
        <v>1033.1100000000001</v>
      </c>
      <c r="H216" s="275">
        <v>10</v>
      </c>
      <c r="I216" s="285">
        <v>1000</v>
      </c>
    </row>
    <row r="217" spans="1:9" ht="15.95" customHeight="1">
      <c r="A217" s="324">
        <v>53</v>
      </c>
      <c r="B217" s="333" t="s">
        <v>305</v>
      </c>
      <c r="C217" s="334" t="s">
        <v>20</v>
      </c>
      <c r="D217" s="335" t="s">
        <v>306</v>
      </c>
      <c r="E217" s="336">
        <v>46023</v>
      </c>
      <c r="F217" s="276">
        <v>59.38</v>
      </c>
      <c r="G217" s="276">
        <f t="shared" si="20"/>
        <v>296.90000000000003</v>
      </c>
      <c r="H217" s="275">
        <v>5</v>
      </c>
      <c r="I217" s="285">
        <v>210</v>
      </c>
    </row>
    <row r="218" spans="1:9" ht="15.95" customHeight="1">
      <c r="A218" s="324">
        <v>54</v>
      </c>
      <c r="B218" s="333" t="s">
        <v>307</v>
      </c>
      <c r="C218" s="334" t="s">
        <v>20</v>
      </c>
      <c r="D218" s="335" t="s">
        <v>248</v>
      </c>
      <c r="E218" s="336">
        <v>46419</v>
      </c>
      <c r="F218" s="276">
        <v>46.11</v>
      </c>
      <c r="G218" s="276">
        <f t="shared" si="20"/>
        <v>1152.75</v>
      </c>
      <c r="H218" s="275">
        <v>25</v>
      </c>
      <c r="I218" s="285">
        <v>2500</v>
      </c>
    </row>
    <row r="219" spans="1:9" ht="15.95" customHeight="1">
      <c r="A219" s="324">
        <v>55</v>
      </c>
      <c r="B219" s="333" t="s">
        <v>308</v>
      </c>
      <c r="C219" s="334" t="s">
        <v>20</v>
      </c>
      <c r="D219" s="335" t="s">
        <v>251</v>
      </c>
      <c r="E219" s="336">
        <v>46447</v>
      </c>
      <c r="F219" s="276">
        <v>478.84</v>
      </c>
      <c r="G219" s="276">
        <f t="shared" si="20"/>
        <v>5267.24</v>
      </c>
      <c r="H219" s="275">
        <v>11</v>
      </c>
      <c r="I219" s="285">
        <v>11000</v>
      </c>
    </row>
    <row r="220" spans="1:9" ht="15.95" customHeight="1">
      <c r="A220" s="324">
        <v>56</v>
      </c>
      <c r="B220" s="333" t="s">
        <v>309</v>
      </c>
      <c r="C220" s="334" t="s">
        <v>266</v>
      </c>
      <c r="D220" s="335" t="s">
        <v>37</v>
      </c>
      <c r="E220" s="336">
        <v>46419</v>
      </c>
      <c r="F220" s="276">
        <v>140.65</v>
      </c>
      <c r="G220" s="276">
        <f t="shared" si="20"/>
        <v>140.65</v>
      </c>
      <c r="H220" s="275">
        <v>1</v>
      </c>
      <c r="I220" s="285">
        <v>10</v>
      </c>
    </row>
    <row r="221" spans="1:9" ht="15.95" customHeight="1">
      <c r="A221" s="324">
        <v>57</v>
      </c>
      <c r="B221" s="333" t="s">
        <v>311</v>
      </c>
      <c r="C221" s="334" t="s">
        <v>20</v>
      </c>
      <c r="D221" s="335" t="s">
        <v>40</v>
      </c>
      <c r="E221" s="336">
        <v>46023</v>
      </c>
      <c r="F221" s="276">
        <v>23.172499999999999</v>
      </c>
      <c r="G221" s="276">
        <f t="shared" si="20"/>
        <v>46.344999999999999</v>
      </c>
      <c r="H221" s="275">
        <v>2</v>
      </c>
      <c r="I221" s="285">
        <v>40</v>
      </c>
    </row>
    <row r="222" spans="1:9" ht="15.95" customHeight="1">
      <c r="A222" s="324">
        <v>58</v>
      </c>
      <c r="B222" s="333" t="s">
        <v>358</v>
      </c>
      <c r="C222" s="334" t="s">
        <v>118</v>
      </c>
      <c r="D222" s="335"/>
      <c r="E222" s="336"/>
      <c r="F222" s="276">
        <v>29.43</v>
      </c>
      <c r="G222" s="276">
        <f t="shared" si="20"/>
        <v>1471.5</v>
      </c>
      <c r="H222" s="275">
        <v>50</v>
      </c>
      <c r="I222" s="285"/>
    </row>
    <row r="223" spans="1:9" ht="15.95" customHeight="1">
      <c r="A223" s="324">
        <v>59</v>
      </c>
      <c r="B223" s="333" t="s">
        <v>359</v>
      </c>
      <c r="C223" s="334" t="s">
        <v>118</v>
      </c>
      <c r="D223" s="335"/>
      <c r="E223" s="336"/>
      <c r="F223" s="276">
        <v>22.8</v>
      </c>
      <c r="G223" s="276">
        <f t="shared" si="20"/>
        <v>456</v>
      </c>
      <c r="H223" s="275">
        <v>20</v>
      </c>
      <c r="I223" s="285"/>
    </row>
    <row r="224" spans="1:9" ht="15.95" customHeight="1">
      <c r="A224" s="324">
        <v>60</v>
      </c>
      <c r="B224" s="333" t="s">
        <v>312</v>
      </c>
      <c r="C224" s="334" t="s">
        <v>20</v>
      </c>
      <c r="D224" s="335" t="s">
        <v>248</v>
      </c>
      <c r="E224" s="336"/>
      <c r="F224" s="276">
        <v>43</v>
      </c>
      <c r="G224" s="276">
        <f t="shared" si="20"/>
        <v>258</v>
      </c>
      <c r="H224" s="275">
        <v>6</v>
      </c>
      <c r="I224" s="285">
        <v>550</v>
      </c>
    </row>
    <row r="225" spans="1:9" ht="15.95" customHeight="1">
      <c r="A225" s="324">
        <v>61</v>
      </c>
      <c r="B225" s="333" t="s">
        <v>313</v>
      </c>
      <c r="C225" s="334" t="s">
        <v>20</v>
      </c>
      <c r="D225" s="335" t="s">
        <v>40</v>
      </c>
      <c r="E225" s="336">
        <v>46023</v>
      </c>
      <c r="F225" s="276">
        <v>22.48</v>
      </c>
      <c r="G225" s="276">
        <f t="shared" si="20"/>
        <v>7935.4400000000005</v>
      </c>
      <c r="H225" s="275">
        <v>353</v>
      </c>
      <c r="I225" s="285">
        <v>7060</v>
      </c>
    </row>
    <row r="226" spans="1:9" ht="15.95" customHeight="1">
      <c r="A226" s="324">
        <v>62</v>
      </c>
      <c r="B226" s="333" t="s">
        <v>360</v>
      </c>
      <c r="C226" s="334" t="s">
        <v>118</v>
      </c>
      <c r="D226" s="335"/>
      <c r="E226" s="336"/>
      <c r="F226" s="276">
        <v>24.87</v>
      </c>
      <c r="G226" s="276">
        <f t="shared" si="20"/>
        <v>2487</v>
      </c>
      <c r="H226" s="275">
        <v>100</v>
      </c>
      <c r="I226" s="285"/>
    </row>
    <row r="227" spans="1:9" ht="15.95" customHeight="1">
      <c r="A227" s="324">
        <v>63</v>
      </c>
      <c r="B227" s="333" t="s">
        <v>361</v>
      </c>
      <c r="C227" s="334" t="s">
        <v>118</v>
      </c>
      <c r="D227" s="335"/>
      <c r="E227" s="336"/>
      <c r="F227" s="276">
        <v>50.57</v>
      </c>
      <c r="G227" s="276">
        <f t="shared" si="20"/>
        <v>5057</v>
      </c>
      <c r="H227" s="275">
        <v>100</v>
      </c>
      <c r="I227" s="285"/>
    </row>
    <row r="228" spans="1:9" ht="15.95" customHeight="1">
      <c r="A228" s="324">
        <v>64</v>
      </c>
      <c r="B228" s="345" t="s">
        <v>362</v>
      </c>
      <c r="C228" s="334" t="s">
        <v>118</v>
      </c>
      <c r="D228" s="335"/>
      <c r="E228" s="339"/>
      <c r="F228" s="308">
        <v>34.4</v>
      </c>
      <c r="G228" s="276">
        <f t="shared" si="20"/>
        <v>1720</v>
      </c>
      <c r="H228" s="309">
        <v>50</v>
      </c>
      <c r="I228" s="285"/>
    </row>
    <row r="229" spans="1:9" ht="15.95" customHeight="1">
      <c r="A229" s="324">
        <v>65</v>
      </c>
      <c r="B229" s="345" t="s">
        <v>363</v>
      </c>
      <c r="C229" s="334" t="s">
        <v>118</v>
      </c>
      <c r="D229" s="335"/>
      <c r="E229" s="339"/>
      <c r="F229" s="308">
        <v>27.77</v>
      </c>
      <c r="G229" s="276">
        <f t="shared" si="20"/>
        <v>1055.26</v>
      </c>
      <c r="H229" s="309">
        <v>38</v>
      </c>
      <c r="I229" s="285"/>
    </row>
    <row r="230" spans="1:9" ht="15.95" customHeight="1">
      <c r="A230" s="324">
        <v>66</v>
      </c>
      <c r="B230" s="346" t="s">
        <v>316</v>
      </c>
      <c r="C230" s="334" t="s">
        <v>20</v>
      </c>
      <c r="D230" s="335" t="s">
        <v>37</v>
      </c>
      <c r="E230" s="339"/>
      <c r="F230" s="308">
        <v>600</v>
      </c>
      <c r="G230" s="276">
        <f t="shared" si="20"/>
        <v>227400</v>
      </c>
      <c r="H230" s="309">
        <v>379</v>
      </c>
      <c r="I230" s="285"/>
    </row>
    <row r="231" spans="1:9" ht="15.95" customHeight="1">
      <c r="A231" s="324">
        <v>67</v>
      </c>
      <c r="B231" s="337" t="s">
        <v>364</v>
      </c>
      <c r="C231" s="334" t="s">
        <v>118</v>
      </c>
      <c r="D231" s="335"/>
      <c r="E231" s="339"/>
      <c r="F231" s="309">
        <v>16.54</v>
      </c>
      <c r="G231" s="276">
        <f t="shared" si="20"/>
        <v>49.62</v>
      </c>
      <c r="H231" s="309">
        <v>3</v>
      </c>
      <c r="I231" s="285"/>
    </row>
    <row r="232" spans="1:9" ht="15.95" customHeight="1">
      <c r="A232" s="324">
        <v>68</v>
      </c>
      <c r="B232" s="337" t="s">
        <v>317</v>
      </c>
      <c r="C232" s="334" t="s">
        <v>20</v>
      </c>
      <c r="D232" s="335" t="s">
        <v>318</v>
      </c>
      <c r="E232" s="339">
        <v>46023</v>
      </c>
      <c r="F232" s="309">
        <v>244.75899999999999</v>
      </c>
      <c r="G232" s="276">
        <f t="shared" si="20"/>
        <v>2447.5899999999997</v>
      </c>
      <c r="H232" s="309">
        <v>10</v>
      </c>
      <c r="I232" s="285">
        <v>560</v>
      </c>
    </row>
    <row r="233" spans="1:9" ht="15.95" customHeight="1">
      <c r="A233" s="324">
        <v>69</v>
      </c>
      <c r="B233" s="337" t="s">
        <v>319</v>
      </c>
      <c r="C233" s="334" t="s">
        <v>20</v>
      </c>
      <c r="D233" s="335" t="s">
        <v>251</v>
      </c>
      <c r="E233" s="339">
        <v>46844</v>
      </c>
      <c r="F233" s="309">
        <v>1648.41</v>
      </c>
      <c r="G233" s="276">
        <f t="shared" si="20"/>
        <v>9890.4600000000009</v>
      </c>
      <c r="H233" s="309">
        <v>6</v>
      </c>
      <c r="I233" s="285">
        <v>5560</v>
      </c>
    </row>
    <row r="234" spans="1:9" ht="15.95" customHeight="1">
      <c r="A234" s="324">
        <v>70</v>
      </c>
      <c r="B234" s="337" t="s">
        <v>320</v>
      </c>
      <c r="C234" s="334" t="s">
        <v>266</v>
      </c>
      <c r="D234" s="335" t="s">
        <v>231</v>
      </c>
      <c r="E234" s="339">
        <v>46508</v>
      </c>
      <c r="F234" s="308">
        <v>715.8</v>
      </c>
      <c r="G234" s="276">
        <f t="shared" si="20"/>
        <v>5010.5999999999995</v>
      </c>
      <c r="H234" s="309">
        <v>7</v>
      </c>
      <c r="I234" s="285">
        <v>116</v>
      </c>
    </row>
    <row r="235" spans="1:9" ht="15.95" customHeight="1">
      <c r="A235" s="324">
        <v>71</v>
      </c>
      <c r="B235" s="344" t="s">
        <v>321</v>
      </c>
      <c r="C235" s="334" t="s">
        <v>20</v>
      </c>
      <c r="D235" s="335" t="s">
        <v>241</v>
      </c>
      <c r="E235" s="339"/>
      <c r="F235" s="308">
        <v>20</v>
      </c>
      <c r="G235" s="276">
        <f t="shared" si="20"/>
        <v>6000</v>
      </c>
      <c r="H235" s="309">
        <v>300</v>
      </c>
      <c r="I235" s="285">
        <v>9000</v>
      </c>
    </row>
    <row r="236" spans="1:9" ht="15.95" customHeight="1">
      <c r="A236" s="324">
        <v>72</v>
      </c>
      <c r="B236" s="344" t="s">
        <v>322</v>
      </c>
      <c r="C236" s="334" t="s">
        <v>20</v>
      </c>
      <c r="D236" s="335" t="s">
        <v>37</v>
      </c>
      <c r="E236" s="339"/>
      <c r="F236" s="308">
        <v>80</v>
      </c>
      <c r="G236" s="276">
        <f t="shared" si="20"/>
        <v>24000</v>
      </c>
      <c r="H236" s="309">
        <v>300</v>
      </c>
      <c r="I236" s="285">
        <v>3000</v>
      </c>
    </row>
    <row r="237" spans="1:9" ht="15.95" customHeight="1">
      <c r="A237" s="324">
        <v>73</v>
      </c>
      <c r="B237" s="337" t="s">
        <v>323</v>
      </c>
      <c r="C237" s="334" t="s">
        <v>20</v>
      </c>
      <c r="D237" s="335" t="s">
        <v>248</v>
      </c>
      <c r="E237" s="339">
        <v>46023</v>
      </c>
      <c r="F237" s="309">
        <v>48.759</v>
      </c>
      <c r="G237" s="276">
        <f t="shared" si="20"/>
        <v>487.59000000000003</v>
      </c>
      <c r="H237" s="309">
        <v>10</v>
      </c>
      <c r="I237" s="285">
        <v>1000</v>
      </c>
    </row>
    <row r="238" spans="1:9" ht="15.95" customHeight="1">
      <c r="A238" s="324">
        <v>74</v>
      </c>
      <c r="B238" s="337" t="s">
        <v>324</v>
      </c>
      <c r="C238" s="334" t="s">
        <v>20</v>
      </c>
      <c r="D238" s="335" t="s">
        <v>37</v>
      </c>
      <c r="E238" s="339">
        <v>46266</v>
      </c>
      <c r="F238" s="309">
        <v>430.92</v>
      </c>
      <c r="G238" s="276">
        <f t="shared" si="20"/>
        <v>861.84</v>
      </c>
      <c r="H238" s="309">
        <v>2</v>
      </c>
      <c r="I238" s="285">
        <v>15</v>
      </c>
    </row>
    <row r="239" spans="1:9" ht="15.75" customHeight="1">
      <c r="A239" s="324">
        <v>75</v>
      </c>
      <c r="B239" s="302" t="s">
        <v>385</v>
      </c>
      <c r="C239" s="326" t="s">
        <v>20</v>
      </c>
      <c r="D239" s="267" t="s">
        <v>248</v>
      </c>
      <c r="E239" s="328">
        <v>46082</v>
      </c>
      <c r="F239" s="329">
        <v>300</v>
      </c>
      <c r="G239" s="330">
        <f t="shared" si="20"/>
        <v>600</v>
      </c>
      <c r="H239" s="326">
        <v>2</v>
      </c>
      <c r="I239" s="285">
        <v>200</v>
      </c>
    </row>
    <row r="240" spans="1:9" ht="15">
      <c r="A240" s="324">
        <v>76</v>
      </c>
      <c r="B240" s="302" t="s">
        <v>384</v>
      </c>
      <c r="C240" s="326" t="s">
        <v>20</v>
      </c>
      <c r="D240" s="267" t="s">
        <v>241</v>
      </c>
      <c r="E240" s="327"/>
      <c r="F240" s="329">
        <v>300</v>
      </c>
      <c r="G240" s="330">
        <f t="shared" si="20"/>
        <v>27000</v>
      </c>
      <c r="H240" s="326">
        <v>90</v>
      </c>
      <c r="I240" s="331"/>
    </row>
    <row r="241" spans="1:9" ht="15">
      <c r="A241" s="324">
        <v>77</v>
      </c>
      <c r="B241" s="333" t="s">
        <v>330</v>
      </c>
      <c r="C241" s="334" t="s">
        <v>20</v>
      </c>
      <c r="D241" s="335" t="s">
        <v>248</v>
      </c>
      <c r="E241" s="336">
        <v>46023</v>
      </c>
      <c r="F241" s="276">
        <v>831.3</v>
      </c>
      <c r="G241" s="276">
        <f t="shared" si="20"/>
        <v>831.3</v>
      </c>
      <c r="H241" s="275">
        <v>1</v>
      </c>
      <c r="I241" s="285">
        <v>100</v>
      </c>
    </row>
    <row r="242" spans="1:9" ht="15">
      <c r="A242" s="324">
        <v>78</v>
      </c>
      <c r="B242" s="333" t="s">
        <v>330</v>
      </c>
      <c r="C242" s="334" t="s">
        <v>20</v>
      </c>
      <c r="D242" s="335" t="s">
        <v>248</v>
      </c>
      <c r="E242" s="347">
        <v>46023</v>
      </c>
      <c r="F242" s="308">
        <v>831.37</v>
      </c>
      <c r="G242" s="276">
        <f t="shared" si="20"/>
        <v>2494.11</v>
      </c>
      <c r="H242" s="309">
        <v>3</v>
      </c>
      <c r="I242" s="285">
        <v>300</v>
      </c>
    </row>
    <row r="243" spans="1:9" ht="15">
      <c r="A243" s="324">
        <v>79</v>
      </c>
      <c r="B243" s="337" t="s">
        <v>331</v>
      </c>
      <c r="C243" s="334" t="s">
        <v>20</v>
      </c>
      <c r="D243" s="335" t="s">
        <v>248</v>
      </c>
      <c r="E243" s="347"/>
      <c r="F243" s="308">
        <v>637.64</v>
      </c>
      <c r="G243" s="276">
        <f t="shared" si="20"/>
        <v>63764</v>
      </c>
      <c r="H243" s="309">
        <v>100</v>
      </c>
      <c r="I243" s="285">
        <v>10000</v>
      </c>
    </row>
    <row r="244" spans="1:9" ht="15">
      <c r="A244" s="324">
        <v>80</v>
      </c>
      <c r="B244" s="337" t="s">
        <v>332</v>
      </c>
      <c r="C244" s="334" t="s">
        <v>20</v>
      </c>
      <c r="D244" s="335" t="s">
        <v>248</v>
      </c>
      <c r="E244" s="347">
        <v>46143</v>
      </c>
      <c r="F244" s="308">
        <v>164.84</v>
      </c>
      <c r="G244" s="276">
        <f t="shared" si="20"/>
        <v>494.52</v>
      </c>
      <c r="H244" s="309">
        <v>3</v>
      </c>
      <c r="I244" s="285">
        <v>230</v>
      </c>
    </row>
    <row r="245" spans="1:9" ht="15">
      <c r="A245" s="324">
        <v>81</v>
      </c>
      <c r="B245" s="333" t="s">
        <v>334</v>
      </c>
      <c r="C245" s="334" t="s">
        <v>157</v>
      </c>
      <c r="D245" s="335" t="s">
        <v>335</v>
      </c>
      <c r="E245" s="335" t="s">
        <v>336</v>
      </c>
      <c r="F245" s="276">
        <v>1</v>
      </c>
      <c r="G245" s="330">
        <f t="shared" si="20"/>
        <v>940</v>
      </c>
      <c r="H245" s="275">
        <v>940</v>
      </c>
      <c r="I245" s="285"/>
    </row>
    <row r="246" spans="1:9" ht="30" customHeight="1">
      <c r="A246" s="324">
        <v>82</v>
      </c>
      <c r="B246" s="303" t="s">
        <v>337</v>
      </c>
      <c r="C246" s="326" t="s">
        <v>118</v>
      </c>
      <c r="D246" s="267"/>
      <c r="E246" s="336">
        <v>46844</v>
      </c>
      <c r="F246" s="276">
        <v>21.67</v>
      </c>
      <c r="G246" s="276">
        <f t="shared" ref="G246:G248" si="21">F246*H246</f>
        <v>96214.8</v>
      </c>
      <c r="H246" s="275">
        <v>4440</v>
      </c>
      <c r="I246" s="285"/>
    </row>
    <row r="247" spans="1:9" ht="15.95" customHeight="1">
      <c r="A247" s="324">
        <v>83</v>
      </c>
      <c r="B247" s="303" t="s">
        <v>338</v>
      </c>
      <c r="C247" s="326" t="s">
        <v>118</v>
      </c>
      <c r="D247" s="267"/>
      <c r="E247" s="336"/>
      <c r="F247" s="276">
        <v>26.35</v>
      </c>
      <c r="G247" s="276">
        <f t="shared" si="21"/>
        <v>52.7</v>
      </c>
      <c r="H247" s="275">
        <v>2</v>
      </c>
      <c r="I247" s="285"/>
    </row>
    <row r="248" spans="1:9" ht="15.95" customHeight="1">
      <c r="A248" s="324">
        <v>84</v>
      </c>
      <c r="B248" s="302" t="s">
        <v>339</v>
      </c>
      <c r="C248" s="326" t="s">
        <v>118</v>
      </c>
      <c r="D248" s="267"/>
      <c r="E248" s="336">
        <v>46327</v>
      </c>
      <c r="F248" s="276">
        <v>2</v>
      </c>
      <c r="G248" s="276">
        <f t="shared" si="21"/>
        <v>800</v>
      </c>
      <c r="H248" s="275">
        <v>400</v>
      </c>
      <c r="I248" s="285"/>
    </row>
    <row r="249" spans="1:9" ht="15.95" customHeight="1">
      <c r="A249" s="324">
        <v>85</v>
      </c>
      <c r="B249" s="302" t="s">
        <v>340</v>
      </c>
      <c r="C249" s="326" t="s">
        <v>118</v>
      </c>
      <c r="D249" s="267"/>
      <c r="E249" s="336">
        <v>46023</v>
      </c>
      <c r="F249" s="275">
        <v>5.27</v>
      </c>
      <c r="G249" s="276">
        <f t="shared" ref="G249:G260" si="22">H249*F249</f>
        <v>105.39999999999999</v>
      </c>
      <c r="H249" s="275">
        <v>20</v>
      </c>
      <c r="I249" s="285"/>
    </row>
    <row r="250" spans="1:9" ht="30">
      <c r="A250" s="324">
        <v>86</v>
      </c>
      <c r="B250" s="333" t="s">
        <v>341</v>
      </c>
      <c r="C250" s="334" t="s">
        <v>118</v>
      </c>
      <c r="D250" s="335"/>
      <c r="E250" s="348">
        <v>45992</v>
      </c>
      <c r="F250" s="276">
        <v>5</v>
      </c>
      <c r="G250" s="276">
        <f t="shared" si="22"/>
        <v>2295</v>
      </c>
      <c r="H250" s="275">
        <v>459</v>
      </c>
      <c r="I250" s="285"/>
    </row>
    <row r="251" spans="1:9" ht="15">
      <c r="A251" s="324">
        <v>87</v>
      </c>
      <c r="B251" s="333" t="s">
        <v>342</v>
      </c>
      <c r="C251" s="334" t="s">
        <v>343</v>
      </c>
      <c r="D251" s="335" t="s">
        <v>248</v>
      </c>
      <c r="E251" s="335" t="s">
        <v>336</v>
      </c>
      <c r="F251" s="276">
        <v>1.5</v>
      </c>
      <c r="G251" s="276">
        <f t="shared" si="22"/>
        <v>1050</v>
      </c>
      <c r="H251" s="275">
        <v>700</v>
      </c>
      <c r="I251" s="285"/>
    </row>
    <row r="252" spans="1:9" ht="15">
      <c r="A252" s="324">
        <v>88</v>
      </c>
      <c r="B252" s="337" t="s">
        <v>367</v>
      </c>
      <c r="C252" s="334" t="s">
        <v>118</v>
      </c>
      <c r="D252" s="335"/>
      <c r="E252" s="335" t="s">
        <v>336</v>
      </c>
      <c r="F252" s="308">
        <v>100</v>
      </c>
      <c r="G252" s="276">
        <f t="shared" si="22"/>
        <v>31000</v>
      </c>
      <c r="H252" s="309">
        <v>310</v>
      </c>
      <c r="I252" s="331"/>
    </row>
    <row r="253" spans="1:9" ht="26.25">
      <c r="A253" s="324">
        <v>89</v>
      </c>
      <c r="B253" s="302" t="s">
        <v>344</v>
      </c>
      <c r="C253" s="326" t="s">
        <v>118</v>
      </c>
      <c r="D253" s="267"/>
      <c r="E253" s="349" t="s">
        <v>345</v>
      </c>
      <c r="F253" s="329">
        <v>100</v>
      </c>
      <c r="G253" s="330">
        <f t="shared" si="22"/>
        <v>142400</v>
      </c>
      <c r="H253" s="326">
        <v>1424</v>
      </c>
      <c r="I253" s="331"/>
    </row>
    <row r="254" spans="1:9" ht="15.95" customHeight="1">
      <c r="A254" s="324">
        <v>90</v>
      </c>
      <c r="B254" s="333" t="s">
        <v>346</v>
      </c>
      <c r="C254" s="334" t="s">
        <v>118</v>
      </c>
      <c r="D254" s="335"/>
      <c r="E254" s="336"/>
      <c r="F254" s="276">
        <v>61</v>
      </c>
      <c r="G254" s="276">
        <f t="shared" si="22"/>
        <v>915</v>
      </c>
      <c r="H254" s="275">
        <v>15</v>
      </c>
      <c r="I254" s="285"/>
    </row>
    <row r="255" spans="1:9" ht="15.95" customHeight="1">
      <c r="A255" s="324">
        <v>91</v>
      </c>
      <c r="B255" s="333" t="s">
        <v>368</v>
      </c>
      <c r="C255" s="334" t="s">
        <v>118</v>
      </c>
      <c r="D255" s="335"/>
      <c r="E255" s="335" t="s">
        <v>336</v>
      </c>
      <c r="F255" s="276">
        <v>5</v>
      </c>
      <c r="G255" s="276">
        <f t="shared" si="22"/>
        <v>3100</v>
      </c>
      <c r="H255" s="275">
        <v>620</v>
      </c>
      <c r="I255" s="285"/>
    </row>
    <row r="256" spans="1:9" ht="15.95" customHeight="1">
      <c r="A256" s="324">
        <v>92</v>
      </c>
      <c r="B256" s="333" t="s">
        <v>376</v>
      </c>
      <c r="C256" s="334" t="s">
        <v>20</v>
      </c>
      <c r="D256" s="335" t="s">
        <v>248</v>
      </c>
      <c r="E256" s="336"/>
      <c r="F256" s="276">
        <v>30</v>
      </c>
      <c r="G256" s="276">
        <f t="shared" si="22"/>
        <v>15000</v>
      </c>
      <c r="H256" s="275">
        <v>500</v>
      </c>
      <c r="I256" s="285">
        <v>50000</v>
      </c>
    </row>
    <row r="257" spans="1:9" ht="15.95" customHeight="1">
      <c r="A257" s="324">
        <v>93</v>
      </c>
      <c r="B257" s="333" t="s">
        <v>347</v>
      </c>
      <c r="C257" s="334" t="s">
        <v>118</v>
      </c>
      <c r="D257" s="335"/>
      <c r="E257" s="336"/>
      <c r="F257" s="276">
        <v>87</v>
      </c>
      <c r="G257" s="276">
        <f t="shared" si="22"/>
        <v>261</v>
      </c>
      <c r="H257" s="275">
        <v>3</v>
      </c>
      <c r="I257" s="285"/>
    </row>
    <row r="258" spans="1:9" ht="15.95" customHeight="1">
      <c r="A258" s="324">
        <v>94</v>
      </c>
      <c r="B258" s="333" t="s">
        <v>348</v>
      </c>
      <c r="C258" s="334" t="s">
        <v>20</v>
      </c>
      <c r="D258" s="335" t="s">
        <v>349</v>
      </c>
      <c r="E258" s="336"/>
      <c r="F258" s="276">
        <v>72.62</v>
      </c>
      <c r="G258" s="276">
        <f t="shared" si="22"/>
        <v>72.62</v>
      </c>
      <c r="H258" s="275">
        <v>1</v>
      </c>
      <c r="I258" s="285">
        <v>400</v>
      </c>
    </row>
    <row r="259" spans="1:9" ht="15.95" customHeight="1">
      <c r="A259" s="324">
        <v>95</v>
      </c>
      <c r="B259" s="333" t="s">
        <v>369</v>
      </c>
      <c r="C259" s="334" t="s">
        <v>118</v>
      </c>
      <c r="D259" s="335"/>
      <c r="E259" s="336"/>
      <c r="F259" s="276">
        <v>1.1000000000000001</v>
      </c>
      <c r="G259" s="276">
        <f t="shared" si="22"/>
        <v>550</v>
      </c>
      <c r="H259" s="275">
        <v>500</v>
      </c>
      <c r="I259" s="285"/>
    </row>
    <row r="260" spans="1:9" ht="15.95" customHeight="1">
      <c r="A260" s="324">
        <v>96</v>
      </c>
      <c r="B260" s="303" t="s">
        <v>350</v>
      </c>
      <c r="C260" s="326" t="s">
        <v>20</v>
      </c>
      <c r="D260" s="267" t="s">
        <v>248</v>
      </c>
      <c r="E260" s="336">
        <v>46692</v>
      </c>
      <c r="F260" s="276">
        <v>202.71</v>
      </c>
      <c r="G260" s="276">
        <f t="shared" si="22"/>
        <v>608.13</v>
      </c>
      <c r="H260" s="275">
        <v>3</v>
      </c>
      <c r="I260" s="285">
        <v>300</v>
      </c>
    </row>
    <row r="261" spans="1:9" ht="15.95" customHeight="1">
      <c r="A261" s="324">
        <v>97</v>
      </c>
      <c r="B261" s="303" t="s">
        <v>350</v>
      </c>
      <c r="C261" s="326" t="s">
        <v>20</v>
      </c>
      <c r="D261" s="267"/>
      <c r="E261" s="336">
        <v>46692</v>
      </c>
      <c r="F261" s="276">
        <v>190.5</v>
      </c>
      <c r="G261" s="276">
        <f t="shared" ref="G261:G262" si="23">F261*H261</f>
        <v>571.5</v>
      </c>
      <c r="H261" s="275">
        <v>3</v>
      </c>
      <c r="I261" s="285">
        <v>229</v>
      </c>
    </row>
    <row r="262" spans="1:9" ht="15.95" customHeight="1">
      <c r="A262" s="350">
        <v>98</v>
      </c>
      <c r="B262" s="302" t="s">
        <v>351</v>
      </c>
      <c r="C262" s="351" t="s">
        <v>118</v>
      </c>
      <c r="D262" s="350"/>
      <c r="E262" s="352"/>
      <c r="F262" s="353">
        <v>178.06</v>
      </c>
      <c r="G262" s="276">
        <f t="shared" si="23"/>
        <v>2492.84</v>
      </c>
      <c r="H262" s="353">
        <v>14</v>
      </c>
      <c r="I262" s="285"/>
    </row>
    <row r="263" spans="1:9" ht="12.75">
      <c r="A263" s="226"/>
    </row>
    <row r="264" spans="1:9" ht="16.5" customHeight="1">
      <c r="A264" s="228"/>
    </row>
    <row r="265" spans="1:9" ht="12.75">
      <c r="A265" s="228"/>
    </row>
    <row r="266" spans="1:9" ht="15">
      <c r="A266" s="228"/>
      <c r="B266" s="229"/>
      <c r="C266" s="230"/>
      <c r="D266" s="231"/>
      <c r="E266" s="231"/>
      <c r="F266" s="232"/>
      <c r="G266" s="233"/>
      <c r="H266" s="234"/>
      <c r="I266" s="155"/>
    </row>
    <row r="267" spans="1:9" ht="15">
      <c r="A267" s="228"/>
      <c r="B267" s="229"/>
      <c r="C267" s="230"/>
      <c r="D267" s="231"/>
      <c r="E267" s="231"/>
      <c r="F267" s="232"/>
      <c r="G267" s="233"/>
      <c r="H267" s="234"/>
      <c r="I267" s="155"/>
    </row>
    <row r="268" spans="1:9" ht="15">
      <c r="A268" s="228"/>
      <c r="B268" s="229"/>
      <c r="C268" s="230"/>
      <c r="D268" s="231"/>
      <c r="E268" s="231"/>
      <c r="F268" s="232"/>
      <c r="G268" s="233"/>
      <c r="H268" s="234"/>
      <c r="I268" s="155"/>
    </row>
    <row r="269" spans="1:9" ht="12.75">
      <c r="A269" s="228"/>
    </row>
    <row r="270" spans="1:9" ht="12.75">
      <c r="A270" s="228"/>
    </row>
    <row r="271" spans="1:9" ht="12.75">
      <c r="A271" s="235"/>
      <c r="B271" s="236"/>
      <c r="C271" s="231"/>
      <c r="D271" s="231"/>
      <c r="E271" s="231"/>
      <c r="F271" s="231"/>
      <c r="G271" s="231"/>
      <c r="H271" s="237"/>
      <c r="I271" s="155"/>
    </row>
    <row r="272" spans="1:9" ht="12.75">
      <c r="A272" s="235"/>
      <c r="B272" s="236"/>
      <c r="C272" s="231"/>
      <c r="D272" s="231"/>
      <c r="E272" s="231"/>
      <c r="F272" s="231"/>
      <c r="G272" s="231"/>
      <c r="H272" s="237"/>
      <c r="I272" s="155"/>
    </row>
    <row r="273" spans="1:9" ht="12.75">
      <c r="A273" s="235"/>
      <c r="B273" s="236"/>
      <c r="C273" s="231"/>
      <c r="D273" s="231"/>
      <c r="E273" s="231"/>
      <c r="F273" s="231"/>
      <c r="G273" s="231"/>
      <c r="H273" s="237"/>
      <c r="I273" s="155"/>
    </row>
    <row r="274" spans="1:9" ht="12.75">
      <c r="B274" s="238"/>
      <c r="H274" s="155"/>
      <c r="I274" s="155"/>
    </row>
    <row r="275" spans="1:9" ht="12.75">
      <c r="B275" s="238"/>
      <c r="H275" s="155"/>
      <c r="I275" s="155"/>
    </row>
    <row r="276" spans="1:9" ht="12.75">
      <c r="B276" s="238"/>
      <c r="H276" s="155"/>
      <c r="I276" s="155"/>
    </row>
    <row r="277" spans="1:9" ht="12.75">
      <c r="B277" s="238"/>
      <c r="H277" s="155"/>
      <c r="I277" s="155"/>
    </row>
    <row r="278" spans="1:9" ht="12.75">
      <c r="B278" s="238"/>
      <c r="H278" s="155"/>
      <c r="I278" s="155"/>
    </row>
    <row r="279" spans="1:9" ht="12.75">
      <c r="B279" s="238"/>
      <c r="H279" s="155"/>
      <c r="I279" s="155"/>
    </row>
    <row r="280" spans="1:9" ht="12.75">
      <c r="B280" s="238"/>
      <c r="H280" s="155"/>
      <c r="I280" s="155"/>
    </row>
    <row r="281" spans="1:9" ht="12.75">
      <c r="B281" s="238"/>
      <c r="H281" s="155"/>
      <c r="I281" s="155"/>
    </row>
    <row r="282" spans="1:9" ht="12.75">
      <c r="B282" s="238"/>
      <c r="H282" s="155"/>
      <c r="I282" s="155"/>
    </row>
    <row r="283" spans="1:9" ht="12.75">
      <c r="B283" s="238"/>
      <c r="H283" s="155"/>
      <c r="I283" s="155"/>
    </row>
    <row r="284" spans="1:9" ht="12.75">
      <c r="B284" s="238"/>
      <c r="H284" s="155"/>
      <c r="I284" s="155"/>
    </row>
    <row r="285" spans="1:9" ht="12.75">
      <c r="B285" s="238"/>
      <c r="H285" s="155"/>
      <c r="I285" s="155"/>
    </row>
    <row r="286" spans="1:9" ht="12.75">
      <c r="B286" s="238"/>
      <c r="H286" s="155"/>
      <c r="I286" s="155"/>
    </row>
    <row r="287" spans="1:9" ht="12.75">
      <c r="B287" s="238"/>
      <c r="H287" s="155"/>
      <c r="I287" s="155"/>
    </row>
    <row r="288" spans="1:9" ht="12.75">
      <c r="B288" s="238"/>
      <c r="H288" s="155"/>
      <c r="I288" s="155"/>
    </row>
    <row r="289" spans="2:9" ht="12.75">
      <c r="B289" s="238"/>
      <c r="H289" s="155"/>
      <c r="I289" s="155"/>
    </row>
    <row r="290" spans="2:9" ht="12.75">
      <c r="B290" s="238"/>
      <c r="H290" s="155"/>
      <c r="I290" s="155"/>
    </row>
    <row r="291" spans="2:9" ht="12.75">
      <c r="B291" s="238"/>
      <c r="H291" s="155"/>
      <c r="I291" s="155"/>
    </row>
    <row r="292" spans="2:9" ht="12.75">
      <c r="B292" s="238"/>
      <c r="H292" s="155"/>
      <c r="I292" s="155"/>
    </row>
    <row r="293" spans="2:9" ht="12.75">
      <c r="B293" s="238"/>
      <c r="H293" s="155"/>
      <c r="I293" s="155"/>
    </row>
    <row r="294" spans="2:9" ht="12.75">
      <c r="B294" s="238"/>
      <c r="H294" s="155"/>
      <c r="I294" s="155"/>
    </row>
    <row r="295" spans="2:9" ht="12.75">
      <c r="B295" s="238"/>
      <c r="H295" s="155"/>
      <c r="I295" s="155"/>
    </row>
    <row r="296" spans="2:9" ht="12.75">
      <c r="B296" s="238"/>
      <c r="H296" s="155"/>
      <c r="I296" s="155"/>
    </row>
    <row r="297" spans="2:9" ht="12.75">
      <c r="B297" s="238"/>
      <c r="H297" s="155"/>
      <c r="I297" s="155"/>
    </row>
    <row r="298" spans="2:9" ht="12.75">
      <c r="B298" s="238"/>
      <c r="H298" s="155"/>
      <c r="I298" s="155"/>
    </row>
    <row r="299" spans="2:9" ht="12.75">
      <c r="B299" s="238"/>
      <c r="H299" s="155"/>
      <c r="I299" s="155"/>
    </row>
    <row r="300" spans="2:9" ht="12.75">
      <c r="B300" s="238"/>
      <c r="H300" s="155"/>
      <c r="I300" s="155"/>
    </row>
    <row r="301" spans="2:9" ht="12.75">
      <c r="B301" s="238"/>
      <c r="H301" s="155"/>
      <c r="I301" s="155"/>
    </row>
    <row r="302" spans="2:9" ht="12.75">
      <c r="B302" s="238"/>
      <c r="H302" s="155"/>
      <c r="I302" s="155"/>
    </row>
    <row r="303" spans="2:9" ht="12.75">
      <c r="B303" s="238"/>
      <c r="H303" s="155"/>
      <c r="I303" s="155"/>
    </row>
    <row r="304" spans="2:9" ht="12.75">
      <c r="B304" s="238"/>
      <c r="H304" s="155"/>
      <c r="I304" s="155"/>
    </row>
    <row r="305" spans="2:9" ht="12.75">
      <c r="B305" s="238"/>
      <c r="H305" s="155"/>
      <c r="I305" s="155"/>
    </row>
    <row r="306" spans="2:9" ht="12.75">
      <c r="B306" s="238"/>
      <c r="H306" s="155"/>
      <c r="I306" s="155"/>
    </row>
    <row r="307" spans="2:9" ht="12.75">
      <c r="B307" s="238"/>
      <c r="H307" s="155"/>
      <c r="I307" s="155"/>
    </row>
    <row r="308" spans="2:9" ht="12.75">
      <c r="B308" s="238"/>
      <c r="H308" s="155"/>
      <c r="I308" s="155"/>
    </row>
    <row r="309" spans="2:9" ht="12.75">
      <c r="B309" s="238"/>
      <c r="H309" s="155"/>
      <c r="I309" s="155"/>
    </row>
    <row r="310" spans="2:9" ht="12.75">
      <c r="B310" s="238"/>
      <c r="H310" s="155"/>
      <c r="I310" s="239"/>
    </row>
    <row r="311" spans="2:9" ht="12.75">
      <c r="B311" s="238"/>
      <c r="H311" s="155"/>
      <c r="I311" s="239"/>
    </row>
    <row r="312" spans="2:9" ht="12.75">
      <c r="B312" s="238"/>
      <c r="H312" s="155"/>
      <c r="I312" s="239"/>
    </row>
    <row r="313" spans="2:9" ht="12.75">
      <c r="B313" s="238"/>
      <c r="H313" s="155"/>
      <c r="I313" s="239"/>
    </row>
    <row r="314" spans="2:9" ht="12.75">
      <c r="B314" s="238"/>
      <c r="H314" s="155"/>
      <c r="I314" s="239"/>
    </row>
    <row r="315" spans="2:9" ht="12.75">
      <c r="B315" s="238"/>
      <c r="H315" s="155"/>
      <c r="I315" s="239"/>
    </row>
    <row r="316" spans="2:9" ht="12.75">
      <c r="B316" s="238"/>
      <c r="H316" s="155"/>
      <c r="I316" s="239"/>
    </row>
    <row r="317" spans="2:9" ht="12.75">
      <c r="B317" s="238"/>
      <c r="H317" s="155"/>
      <c r="I317" s="239"/>
    </row>
    <row r="318" spans="2:9" ht="12.75">
      <c r="B318" s="238"/>
      <c r="H318" s="155"/>
      <c r="I318" s="239"/>
    </row>
    <row r="319" spans="2:9" ht="12.75">
      <c r="B319" s="238"/>
      <c r="H319" s="155"/>
      <c r="I319" s="239"/>
    </row>
    <row r="320" spans="2:9" ht="12.75">
      <c r="B320" s="238"/>
      <c r="H320" s="155"/>
      <c r="I320" s="239"/>
    </row>
    <row r="321" spans="2:9" ht="12.75">
      <c r="B321" s="238"/>
      <c r="H321" s="155"/>
      <c r="I321" s="239"/>
    </row>
    <row r="322" spans="2:9" ht="12.75">
      <c r="B322" s="238"/>
      <c r="H322" s="155"/>
      <c r="I322" s="239"/>
    </row>
    <row r="323" spans="2:9" ht="12.75">
      <c r="B323" s="238"/>
      <c r="H323" s="155"/>
      <c r="I323" s="239"/>
    </row>
    <row r="324" spans="2:9" ht="12.75">
      <c r="B324" s="238"/>
      <c r="H324" s="155"/>
      <c r="I324" s="239"/>
    </row>
    <row r="325" spans="2:9" ht="12.75">
      <c r="B325" s="238"/>
      <c r="H325" s="155"/>
      <c r="I325" s="239"/>
    </row>
    <row r="326" spans="2:9" ht="12.75">
      <c r="B326" s="238"/>
      <c r="H326" s="155"/>
      <c r="I326" s="239"/>
    </row>
    <row r="327" spans="2:9" ht="12.75">
      <c r="B327" s="238"/>
      <c r="H327" s="155"/>
      <c r="I327" s="239"/>
    </row>
    <row r="328" spans="2:9" ht="12.75">
      <c r="B328" s="238"/>
      <c r="H328" s="155"/>
      <c r="I328" s="239"/>
    </row>
    <row r="329" spans="2:9" ht="12.75">
      <c r="B329" s="238"/>
      <c r="H329" s="155"/>
      <c r="I329" s="239"/>
    </row>
    <row r="330" spans="2:9" ht="12.75">
      <c r="B330" s="238"/>
      <c r="H330" s="155"/>
      <c r="I330" s="239"/>
    </row>
    <row r="331" spans="2:9" ht="12.75">
      <c r="B331" s="238"/>
      <c r="H331" s="155"/>
      <c r="I331" s="239"/>
    </row>
    <row r="332" spans="2:9" ht="12.75">
      <c r="B332" s="238"/>
      <c r="H332" s="155"/>
      <c r="I332" s="239"/>
    </row>
    <row r="333" spans="2:9" ht="12.75">
      <c r="B333" s="238"/>
      <c r="H333" s="155"/>
      <c r="I333" s="239"/>
    </row>
    <row r="334" spans="2:9" ht="12.75">
      <c r="B334" s="238"/>
      <c r="H334" s="155"/>
      <c r="I334" s="239"/>
    </row>
    <row r="335" spans="2:9" ht="12.75">
      <c r="B335" s="238"/>
      <c r="H335" s="155"/>
      <c r="I335" s="239"/>
    </row>
    <row r="336" spans="2:9" ht="12.75">
      <c r="B336" s="238"/>
      <c r="H336" s="155"/>
      <c r="I336" s="239"/>
    </row>
    <row r="337" spans="2:9" ht="12.75">
      <c r="B337" s="238"/>
      <c r="H337" s="155"/>
      <c r="I337" s="239"/>
    </row>
    <row r="338" spans="2:9" ht="12.75">
      <c r="B338" s="238"/>
      <c r="H338" s="155"/>
      <c r="I338" s="239"/>
    </row>
    <row r="339" spans="2:9" ht="12.75">
      <c r="B339" s="238"/>
      <c r="H339" s="155"/>
      <c r="I339" s="239"/>
    </row>
    <row r="340" spans="2:9" ht="12.75">
      <c r="B340" s="238"/>
      <c r="H340" s="155"/>
      <c r="I340" s="239"/>
    </row>
    <row r="341" spans="2:9" ht="12.75">
      <c r="B341" s="238"/>
      <c r="H341" s="155"/>
      <c r="I341" s="239"/>
    </row>
    <row r="342" spans="2:9" ht="12.75">
      <c r="B342" s="238"/>
      <c r="H342" s="155"/>
      <c r="I342" s="239"/>
    </row>
    <row r="343" spans="2:9" ht="12.75">
      <c r="B343" s="238"/>
      <c r="H343" s="155"/>
      <c r="I343" s="239"/>
    </row>
    <row r="344" spans="2:9" ht="12.75">
      <c r="B344" s="238"/>
      <c r="H344" s="155"/>
      <c r="I344" s="239"/>
    </row>
    <row r="345" spans="2:9" ht="12.75">
      <c r="B345" s="238"/>
      <c r="H345" s="155"/>
      <c r="I345" s="239"/>
    </row>
    <row r="346" spans="2:9" ht="12.75">
      <c r="B346" s="238"/>
      <c r="H346" s="155"/>
      <c r="I346" s="239"/>
    </row>
    <row r="347" spans="2:9" ht="12.75">
      <c r="B347" s="238"/>
      <c r="H347" s="155"/>
      <c r="I347" s="239"/>
    </row>
    <row r="348" spans="2:9" ht="12.75">
      <c r="B348" s="238"/>
      <c r="H348" s="155"/>
      <c r="I348" s="239"/>
    </row>
    <row r="349" spans="2:9" ht="12.75">
      <c r="B349" s="238"/>
      <c r="H349" s="155"/>
      <c r="I349" s="239"/>
    </row>
    <row r="350" spans="2:9" ht="12.75">
      <c r="B350" s="238"/>
      <c r="H350" s="155"/>
      <c r="I350" s="239"/>
    </row>
    <row r="351" spans="2:9" ht="12.75">
      <c r="B351" s="238"/>
      <c r="H351" s="155"/>
      <c r="I351" s="239"/>
    </row>
    <row r="352" spans="2:9" ht="12.75">
      <c r="B352" s="238"/>
      <c r="H352" s="155"/>
      <c r="I352" s="239"/>
    </row>
    <row r="353" spans="1:19" ht="12.75">
      <c r="B353" s="238"/>
      <c r="H353" s="155"/>
      <c r="I353" s="239"/>
    </row>
    <row r="354" spans="1:19" ht="12.75">
      <c r="B354" s="238"/>
      <c r="H354" s="155"/>
      <c r="I354" s="239"/>
    </row>
    <row r="355" spans="1:19" ht="12.75">
      <c r="B355" s="238"/>
      <c r="H355" s="155"/>
      <c r="I355" s="239"/>
    </row>
    <row r="356" spans="1:19" ht="12.75">
      <c r="B356" s="238"/>
      <c r="H356" s="155"/>
      <c r="I356" s="239"/>
    </row>
    <row r="357" spans="1:19" ht="12.75">
      <c r="B357" s="238"/>
      <c r="H357" s="155"/>
      <c r="I357" s="239"/>
    </row>
    <row r="358" spans="1:19" ht="12.75">
      <c r="B358" s="238"/>
      <c r="H358" s="155"/>
      <c r="I358" s="239"/>
    </row>
    <row r="359" spans="1:19" ht="12.75">
      <c r="B359" s="238"/>
      <c r="H359" s="155"/>
      <c r="I359" s="239"/>
    </row>
    <row r="360" spans="1:19" ht="12.75">
      <c r="B360" s="238"/>
      <c r="H360" s="155"/>
      <c r="I360" s="239"/>
    </row>
    <row r="361" spans="1:19" ht="12.75">
      <c r="B361" s="238"/>
      <c r="H361" s="155"/>
      <c r="I361" s="239"/>
    </row>
    <row r="362" spans="1:19" ht="12.75">
      <c r="B362" s="238"/>
      <c r="H362" s="155"/>
      <c r="I362" s="239"/>
    </row>
    <row r="363" spans="1:19" ht="12.75">
      <c r="B363" s="238"/>
      <c r="H363" s="155"/>
      <c r="I363" s="239"/>
    </row>
    <row r="364" spans="1:19" ht="12.75">
      <c r="A364" s="244"/>
      <c r="B364" s="245"/>
      <c r="C364" s="244"/>
      <c r="D364" s="244"/>
      <c r="E364" s="244"/>
      <c r="F364" s="244"/>
      <c r="G364" s="244"/>
      <c r="H364" s="244"/>
      <c r="I364" s="244"/>
      <c r="J364" s="155"/>
      <c r="K364" s="155"/>
      <c r="L364" s="155"/>
      <c r="M364" s="155"/>
      <c r="N364" s="155"/>
      <c r="O364" s="155"/>
      <c r="P364" s="155"/>
      <c r="Q364" s="155"/>
      <c r="R364" s="155"/>
      <c r="S364" s="155"/>
    </row>
    <row r="365" spans="1:19" ht="12.75">
      <c r="B365" s="238"/>
      <c r="H365" s="155"/>
      <c r="I365" s="239"/>
    </row>
    <row r="366" spans="1:19" ht="12.75">
      <c r="B366" s="238"/>
      <c r="H366" s="155"/>
      <c r="I366" s="239"/>
    </row>
    <row r="367" spans="1:19" ht="12.75">
      <c r="B367" s="238"/>
      <c r="H367" s="155"/>
      <c r="I367" s="239"/>
    </row>
    <row r="368" spans="1:19" ht="12.75">
      <c r="B368" s="238"/>
      <c r="H368" s="155"/>
      <c r="I368" s="239"/>
    </row>
    <row r="369" spans="2:9" ht="12.75">
      <c r="B369" s="238"/>
      <c r="H369" s="155"/>
      <c r="I369" s="239"/>
    </row>
    <row r="370" spans="2:9" ht="12.75">
      <c r="B370" s="238"/>
      <c r="H370" s="155"/>
      <c r="I370" s="239"/>
    </row>
    <row r="371" spans="2:9" ht="12.75">
      <c r="B371" s="238"/>
      <c r="H371" s="155"/>
      <c r="I371" s="239"/>
    </row>
    <row r="372" spans="2:9" ht="12.75">
      <c r="B372" s="238"/>
      <c r="H372" s="155"/>
      <c r="I372" s="239"/>
    </row>
    <row r="373" spans="2:9" ht="12.75">
      <c r="B373" s="238"/>
      <c r="H373" s="155"/>
      <c r="I373" s="239"/>
    </row>
    <row r="374" spans="2:9" ht="12.75">
      <c r="B374" s="238"/>
      <c r="H374" s="155"/>
      <c r="I374" s="239"/>
    </row>
    <row r="375" spans="2:9" ht="12.75">
      <c r="B375" s="238"/>
      <c r="H375" s="155"/>
      <c r="I375" s="239"/>
    </row>
    <row r="376" spans="2:9" ht="12.75">
      <c r="B376" s="238"/>
      <c r="H376" s="155"/>
      <c r="I376" s="239"/>
    </row>
    <row r="377" spans="2:9" ht="12.75">
      <c r="B377" s="238"/>
      <c r="H377" s="155"/>
      <c r="I377" s="239"/>
    </row>
    <row r="378" spans="2:9" ht="12.75">
      <c r="B378" s="238"/>
      <c r="H378" s="155"/>
      <c r="I378" s="239"/>
    </row>
    <row r="379" spans="2:9" ht="12.75">
      <c r="B379" s="238"/>
      <c r="H379" s="155"/>
      <c r="I379" s="239"/>
    </row>
    <row r="380" spans="2:9" ht="12.75">
      <c r="B380" s="238"/>
      <c r="H380" s="155"/>
      <c r="I380" s="239"/>
    </row>
    <row r="381" spans="2:9" ht="12.75">
      <c r="B381" s="238"/>
      <c r="H381" s="155"/>
      <c r="I381" s="239"/>
    </row>
    <row r="382" spans="2:9" ht="12.75">
      <c r="B382" s="238"/>
      <c r="H382" s="155"/>
      <c r="I382" s="239"/>
    </row>
    <row r="383" spans="2:9" ht="12.75">
      <c r="B383" s="238"/>
      <c r="H383" s="155"/>
      <c r="I383" s="239"/>
    </row>
    <row r="384" spans="2:9" ht="12.75">
      <c r="B384" s="238"/>
      <c r="H384" s="155"/>
      <c r="I384" s="239"/>
    </row>
    <row r="385" spans="2:9" ht="12.75">
      <c r="B385" s="238"/>
      <c r="H385" s="155"/>
      <c r="I385" s="239"/>
    </row>
    <row r="386" spans="2:9" ht="12.75">
      <c r="B386" s="238"/>
      <c r="H386" s="155"/>
      <c r="I386" s="239"/>
    </row>
    <row r="387" spans="2:9" ht="12.75">
      <c r="B387" s="238"/>
      <c r="H387" s="155"/>
      <c r="I387" s="239"/>
    </row>
    <row r="388" spans="2:9" ht="12.75">
      <c r="B388" s="238"/>
      <c r="H388" s="155"/>
      <c r="I388" s="239"/>
    </row>
    <row r="389" spans="2:9" ht="12.75">
      <c r="B389" s="238"/>
      <c r="H389" s="155"/>
      <c r="I389" s="239"/>
    </row>
    <row r="390" spans="2:9" ht="12.75">
      <c r="B390" s="238"/>
      <c r="H390" s="155"/>
      <c r="I390" s="239"/>
    </row>
    <row r="391" spans="2:9" ht="12.75">
      <c r="B391" s="238"/>
      <c r="H391" s="155"/>
      <c r="I391" s="239"/>
    </row>
    <row r="392" spans="2:9" ht="12.75">
      <c r="B392" s="238"/>
      <c r="H392" s="155"/>
      <c r="I392" s="239"/>
    </row>
    <row r="393" spans="2:9" ht="12.75">
      <c r="B393" s="238"/>
      <c r="H393" s="155"/>
      <c r="I393" s="239"/>
    </row>
    <row r="394" spans="2:9" ht="12.75">
      <c r="B394" s="238"/>
      <c r="H394" s="155"/>
      <c r="I394" s="239"/>
    </row>
    <row r="395" spans="2:9" ht="12.75">
      <c r="B395" s="238"/>
      <c r="H395" s="155"/>
      <c r="I395" s="239"/>
    </row>
    <row r="396" spans="2:9" ht="12.75">
      <c r="B396" s="238"/>
      <c r="H396" s="155"/>
      <c r="I396" s="239"/>
    </row>
    <row r="397" spans="2:9" ht="12.75">
      <c r="B397" s="238"/>
      <c r="H397" s="155"/>
      <c r="I397" s="239"/>
    </row>
    <row r="398" spans="2:9" ht="12.75">
      <c r="B398" s="238"/>
      <c r="H398" s="155"/>
      <c r="I398" s="239"/>
    </row>
    <row r="399" spans="2:9" ht="12.75">
      <c r="B399" s="238"/>
      <c r="H399" s="155"/>
      <c r="I399" s="239"/>
    </row>
    <row r="400" spans="2:9" ht="12.75">
      <c r="B400" s="238"/>
      <c r="H400" s="155"/>
      <c r="I400" s="239"/>
    </row>
    <row r="401" spans="2:9" ht="12.75">
      <c r="B401" s="238"/>
      <c r="H401" s="155"/>
      <c r="I401" s="239"/>
    </row>
    <row r="402" spans="2:9" ht="12.75">
      <c r="B402" s="238"/>
      <c r="H402" s="155"/>
      <c r="I402" s="239"/>
    </row>
    <row r="403" spans="2:9" ht="12.75">
      <c r="B403" s="238"/>
      <c r="H403" s="155"/>
      <c r="I403" s="239"/>
    </row>
    <row r="404" spans="2:9" ht="12.75">
      <c r="B404" s="238"/>
      <c r="H404" s="155"/>
      <c r="I404" s="239"/>
    </row>
    <row r="405" spans="2:9" ht="12.75">
      <c r="B405" s="238"/>
      <c r="H405" s="155"/>
      <c r="I405" s="239"/>
    </row>
    <row r="406" spans="2:9" ht="12.75">
      <c r="B406" s="238"/>
      <c r="H406" s="155"/>
      <c r="I406" s="239"/>
    </row>
    <row r="407" spans="2:9" ht="12.75">
      <c r="B407" s="238"/>
      <c r="H407" s="155"/>
      <c r="I407" s="239"/>
    </row>
    <row r="408" spans="2:9" ht="12.75">
      <c r="B408" s="238"/>
      <c r="H408" s="155"/>
      <c r="I408" s="239"/>
    </row>
    <row r="409" spans="2:9" ht="12.75">
      <c r="B409" s="238"/>
      <c r="H409" s="155"/>
      <c r="I409" s="239"/>
    </row>
    <row r="410" spans="2:9" ht="12.75">
      <c r="B410" s="238"/>
      <c r="H410" s="155"/>
      <c r="I410" s="239"/>
    </row>
    <row r="411" spans="2:9" ht="12.75">
      <c r="B411" s="238"/>
      <c r="H411" s="155"/>
      <c r="I411" s="239"/>
    </row>
    <row r="412" spans="2:9" ht="12.75">
      <c r="B412" s="238"/>
      <c r="H412" s="155"/>
      <c r="I412" s="239"/>
    </row>
    <row r="413" spans="2:9" ht="12.75">
      <c r="B413" s="238"/>
      <c r="H413" s="155"/>
      <c r="I413" s="239"/>
    </row>
    <row r="414" spans="2:9" ht="12.75">
      <c r="B414" s="238"/>
      <c r="H414" s="155"/>
      <c r="I414" s="239"/>
    </row>
    <row r="415" spans="2:9" ht="12.75">
      <c r="B415" s="238"/>
      <c r="H415" s="155"/>
      <c r="I415" s="239"/>
    </row>
    <row r="416" spans="2:9" ht="12.75">
      <c r="B416" s="238"/>
      <c r="H416" s="155"/>
      <c r="I416" s="239"/>
    </row>
    <row r="417" spans="2:9" ht="12.75">
      <c r="B417" s="238"/>
      <c r="H417" s="155"/>
      <c r="I417" s="239"/>
    </row>
    <row r="418" spans="2:9" ht="12.75">
      <c r="B418" s="238"/>
      <c r="H418" s="155"/>
      <c r="I418" s="239"/>
    </row>
    <row r="419" spans="2:9" ht="12.75">
      <c r="B419" s="238"/>
      <c r="H419" s="155"/>
      <c r="I419" s="239"/>
    </row>
    <row r="420" spans="2:9" ht="12.75">
      <c r="B420" s="238"/>
      <c r="H420" s="155"/>
      <c r="I420" s="239"/>
    </row>
    <row r="421" spans="2:9" ht="12.75">
      <c r="B421" s="238"/>
      <c r="H421" s="155"/>
      <c r="I421" s="239"/>
    </row>
    <row r="422" spans="2:9" ht="12.75">
      <c r="B422" s="238"/>
      <c r="H422" s="155"/>
      <c r="I422" s="239"/>
    </row>
    <row r="423" spans="2:9" ht="12.75">
      <c r="B423" s="238"/>
      <c r="H423" s="155"/>
      <c r="I423" s="239"/>
    </row>
    <row r="424" spans="2:9" ht="12.75">
      <c r="B424" s="238"/>
      <c r="H424" s="155"/>
      <c r="I424" s="239"/>
    </row>
    <row r="425" spans="2:9" ht="12.75">
      <c r="B425" s="238"/>
      <c r="H425" s="155"/>
      <c r="I425" s="239"/>
    </row>
    <row r="426" spans="2:9" ht="12.75">
      <c r="B426" s="238"/>
      <c r="H426" s="155"/>
      <c r="I426" s="239"/>
    </row>
    <row r="427" spans="2:9" ht="12.75">
      <c r="B427" s="238"/>
      <c r="H427" s="155"/>
      <c r="I427" s="239"/>
    </row>
    <row r="428" spans="2:9" ht="12.75">
      <c r="B428" s="238"/>
      <c r="H428" s="155"/>
      <c r="I428" s="239"/>
    </row>
    <row r="429" spans="2:9" ht="12.75">
      <c r="B429" s="238"/>
      <c r="H429" s="155"/>
      <c r="I429" s="239"/>
    </row>
    <row r="430" spans="2:9" ht="12.75">
      <c r="B430" s="238"/>
      <c r="H430" s="155"/>
      <c r="I430" s="239"/>
    </row>
    <row r="431" spans="2:9" ht="12.75">
      <c r="B431" s="238"/>
      <c r="H431" s="155"/>
      <c r="I431" s="239"/>
    </row>
    <row r="432" spans="2:9" ht="12.75">
      <c r="B432" s="238"/>
      <c r="H432" s="155"/>
      <c r="I432" s="239"/>
    </row>
    <row r="433" spans="2:9" ht="12.75">
      <c r="B433" s="238"/>
      <c r="H433" s="155"/>
      <c r="I433" s="239"/>
    </row>
    <row r="434" spans="2:9" ht="12.75">
      <c r="B434" s="238"/>
      <c r="H434" s="155"/>
      <c r="I434" s="239"/>
    </row>
    <row r="435" spans="2:9" ht="12.75">
      <c r="B435" s="238"/>
      <c r="H435" s="155"/>
      <c r="I435" s="239"/>
    </row>
    <row r="436" spans="2:9" ht="12.75">
      <c r="B436" s="238"/>
      <c r="H436" s="155"/>
      <c r="I436" s="239"/>
    </row>
    <row r="437" spans="2:9" ht="12.75">
      <c r="B437" s="238"/>
      <c r="H437" s="155"/>
      <c r="I437" s="239"/>
    </row>
    <row r="438" spans="2:9" ht="12.75">
      <c r="B438" s="238"/>
      <c r="H438" s="155"/>
      <c r="I438" s="239"/>
    </row>
    <row r="439" spans="2:9" ht="12.75">
      <c r="B439" s="238"/>
      <c r="H439" s="155"/>
      <c r="I439" s="239"/>
    </row>
    <row r="440" spans="2:9" ht="12.75">
      <c r="B440" s="238"/>
      <c r="H440" s="155"/>
      <c r="I440" s="239"/>
    </row>
    <row r="441" spans="2:9" ht="12.75">
      <c r="B441" s="238"/>
      <c r="H441" s="155"/>
      <c r="I441" s="239"/>
    </row>
    <row r="442" spans="2:9" ht="12.75">
      <c r="B442" s="238"/>
      <c r="H442" s="155"/>
      <c r="I442" s="239"/>
    </row>
    <row r="443" spans="2:9" ht="12.75">
      <c r="B443" s="238"/>
      <c r="H443" s="155"/>
      <c r="I443" s="239"/>
    </row>
    <row r="444" spans="2:9" ht="12.75">
      <c r="B444" s="238"/>
      <c r="H444" s="155"/>
      <c r="I444" s="239"/>
    </row>
    <row r="445" spans="2:9" ht="12.75">
      <c r="B445" s="238"/>
      <c r="H445" s="155"/>
      <c r="I445" s="239"/>
    </row>
    <row r="446" spans="2:9" ht="12.75">
      <c r="B446" s="238"/>
      <c r="H446" s="155"/>
      <c r="I446" s="239"/>
    </row>
    <row r="447" spans="2:9" ht="12.75">
      <c r="B447" s="238"/>
      <c r="H447" s="155"/>
      <c r="I447" s="239"/>
    </row>
    <row r="448" spans="2:9" ht="12.75">
      <c r="B448" s="238"/>
      <c r="H448" s="155"/>
      <c r="I448" s="239"/>
    </row>
    <row r="449" spans="2:9" ht="12.75">
      <c r="B449" s="238"/>
      <c r="H449" s="155"/>
      <c r="I449" s="239"/>
    </row>
    <row r="450" spans="2:9" ht="12.75">
      <c r="B450" s="238"/>
      <c r="H450" s="155"/>
      <c r="I450" s="239"/>
    </row>
    <row r="451" spans="2:9" ht="12.75">
      <c r="B451" s="238"/>
      <c r="H451" s="155"/>
      <c r="I451" s="239"/>
    </row>
    <row r="452" spans="2:9" ht="12.75">
      <c r="B452" s="238"/>
      <c r="H452" s="155"/>
      <c r="I452" s="239"/>
    </row>
    <row r="453" spans="2:9" ht="12.75">
      <c r="B453" s="238"/>
      <c r="H453" s="155"/>
      <c r="I453" s="239"/>
    </row>
    <row r="454" spans="2:9" ht="12.75">
      <c r="B454" s="238"/>
      <c r="H454" s="155"/>
      <c r="I454" s="239"/>
    </row>
    <row r="455" spans="2:9" ht="12.75">
      <c r="B455" s="238"/>
      <c r="H455" s="155"/>
      <c r="I455" s="239"/>
    </row>
    <row r="456" spans="2:9" ht="12.75">
      <c r="B456" s="238"/>
      <c r="H456" s="155"/>
      <c r="I456" s="239"/>
    </row>
    <row r="457" spans="2:9" ht="12.75">
      <c r="B457" s="238"/>
      <c r="H457" s="155"/>
      <c r="I457" s="239"/>
    </row>
    <row r="458" spans="2:9" ht="12.75">
      <c r="B458" s="238"/>
      <c r="H458" s="155"/>
      <c r="I458" s="239"/>
    </row>
    <row r="459" spans="2:9" ht="12.75">
      <c r="B459" s="238"/>
      <c r="H459" s="155"/>
      <c r="I459" s="239"/>
    </row>
    <row r="460" spans="2:9" ht="12.75">
      <c r="B460" s="238"/>
      <c r="H460" s="155"/>
      <c r="I460" s="239"/>
    </row>
    <row r="461" spans="2:9" ht="12.75">
      <c r="B461" s="238"/>
      <c r="H461" s="155"/>
      <c r="I461" s="239"/>
    </row>
    <row r="462" spans="2:9" ht="12.75">
      <c r="B462" s="238"/>
      <c r="H462" s="155"/>
      <c r="I462" s="239"/>
    </row>
    <row r="463" spans="2:9" ht="12.75">
      <c r="B463" s="238"/>
      <c r="H463" s="155"/>
      <c r="I463" s="239"/>
    </row>
    <row r="464" spans="2:9" ht="12.75">
      <c r="B464" s="238"/>
      <c r="H464" s="155"/>
      <c r="I464" s="239"/>
    </row>
    <row r="465" spans="2:9" ht="12.75">
      <c r="B465" s="238"/>
      <c r="H465" s="155"/>
      <c r="I465" s="239"/>
    </row>
    <row r="466" spans="2:9" ht="12.75">
      <c r="B466" s="238"/>
      <c r="H466" s="155"/>
      <c r="I466" s="239"/>
    </row>
    <row r="467" spans="2:9" ht="12.75">
      <c r="B467" s="238"/>
      <c r="H467" s="155"/>
      <c r="I467" s="239"/>
    </row>
    <row r="468" spans="2:9" ht="12.75">
      <c r="B468" s="238"/>
      <c r="H468" s="155"/>
      <c r="I468" s="239"/>
    </row>
    <row r="469" spans="2:9" ht="12.75">
      <c r="B469" s="238"/>
      <c r="H469" s="155"/>
      <c r="I469" s="239"/>
    </row>
    <row r="470" spans="2:9" ht="12.75">
      <c r="B470" s="238"/>
      <c r="H470" s="155"/>
      <c r="I470" s="239"/>
    </row>
    <row r="471" spans="2:9" ht="12.75">
      <c r="B471" s="238"/>
      <c r="H471" s="155"/>
      <c r="I471" s="239"/>
    </row>
    <row r="472" spans="2:9" ht="12.75">
      <c r="B472" s="238"/>
      <c r="H472" s="155"/>
      <c r="I472" s="239"/>
    </row>
    <row r="473" spans="2:9" ht="12.75">
      <c r="B473" s="238"/>
      <c r="H473" s="155"/>
      <c r="I473" s="239"/>
    </row>
    <row r="474" spans="2:9" ht="12.75">
      <c r="B474" s="238"/>
      <c r="H474" s="155"/>
      <c r="I474" s="239"/>
    </row>
    <row r="475" spans="2:9" ht="12.75">
      <c r="B475" s="238"/>
      <c r="H475" s="155"/>
      <c r="I475" s="239"/>
    </row>
    <row r="476" spans="2:9" ht="12.75">
      <c r="B476" s="238"/>
      <c r="H476" s="155"/>
      <c r="I476" s="239"/>
    </row>
    <row r="477" spans="2:9" ht="12.75">
      <c r="B477" s="238"/>
      <c r="H477" s="155"/>
      <c r="I477" s="239"/>
    </row>
    <row r="478" spans="2:9" ht="12.75">
      <c r="B478" s="238"/>
      <c r="H478" s="155"/>
      <c r="I478" s="239"/>
    </row>
    <row r="479" spans="2:9" ht="12.75">
      <c r="B479" s="238"/>
      <c r="H479" s="155"/>
      <c r="I479" s="239"/>
    </row>
    <row r="480" spans="2:9" ht="12.75">
      <c r="B480" s="238"/>
      <c r="H480" s="155"/>
      <c r="I480" s="239"/>
    </row>
    <row r="481" spans="2:9" ht="12.75">
      <c r="B481" s="238"/>
      <c r="H481" s="155"/>
      <c r="I481" s="239"/>
    </row>
    <row r="482" spans="2:9" ht="12.75">
      <c r="B482" s="238"/>
      <c r="H482" s="155"/>
      <c r="I482" s="239"/>
    </row>
    <row r="483" spans="2:9" ht="12.75">
      <c r="B483" s="238"/>
      <c r="H483" s="155"/>
      <c r="I483" s="239"/>
    </row>
    <row r="484" spans="2:9" ht="12.75">
      <c r="B484" s="238"/>
      <c r="H484" s="155"/>
      <c r="I484" s="239"/>
    </row>
    <row r="485" spans="2:9" ht="12.75">
      <c r="B485" s="238"/>
      <c r="H485" s="155"/>
      <c r="I485" s="239"/>
    </row>
    <row r="486" spans="2:9" ht="12.75">
      <c r="B486" s="238"/>
      <c r="H486" s="155"/>
      <c r="I486" s="239"/>
    </row>
    <row r="487" spans="2:9" ht="12.75">
      <c r="B487" s="238"/>
      <c r="H487" s="155"/>
      <c r="I487" s="239"/>
    </row>
    <row r="488" spans="2:9" ht="12.75">
      <c r="B488" s="238"/>
      <c r="H488" s="155"/>
      <c r="I488" s="239"/>
    </row>
    <row r="489" spans="2:9" ht="12.75">
      <c r="B489" s="238"/>
      <c r="H489" s="155"/>
      <c r="I489" s="239"/>
    </row>
    <row r="490" spans="2:9" ht="12.75">
      <c r="B490" s="238"/>
      <c r="H490" s="155"/>
      <c r="I490" s="239"/>
    </row>
    <row r="491" spans="2:9" ht="12.75">
      <c r="B491" s="238"/>
      <c r="H491" s="155"/>
      <c r="I491" s="239"/>
    </row>
    <row r="492" spans="2:9" ht="12.75">
      <c r="B492" s="238"/>
      <c r="H492" s="155"/>
      <c r="I492" s="239"/>
    </row>
    <row r="493" spans="2:9" ht="12.75">
      <c r="B493" s="238"/>
      <c r="H493" s="155"/>
      <c r="I493" s="239"/>
    </row>
    <row r="494" spans="2:9" ht="12.75">
      <c r="B494" s="238"/>
      <c r="H494" s="155"/>
      <c r="I494" s="239"/>
    </row>
    <row r="495" spans="2:9" ht="12.75">
      <c r="B495" s="238"/>
      <c r="H495" s="155"/>
      <c r="I495" s="239"/>
    </row>
    <row r="496" spans="2:9" ht="12.75">
      <c r="B496" s="238"/>
      <c r="H496" s="155"/>
      <c r="I496" s="239"/>
    </row>
    <row r="497" spans="2:9" ht="12.75">
      <c r="B497" s="238"/>
      <c r="H497" s="155"/>
      <c r="I497" s="239"/>
    </row>
    <row r="498" spans="2:9" ht="12.75">
      <c r="B498" s="238"/>
      <c r="H498" s="155"/>
      <c r="I498" s="239"/>
    </row>
    <row r="499" spans="2:9" ht="12.75">
      <c r="B499" s="238"/>
      <c r="H499" s="155"/>
      <c r="I499" s="239"/>
    </row>
    <row r="500" spans="2:9" ht="12.75">
      <c r="B500" s="238"/>
      <c r="H500" s="155"/>
      <c r="I500" s="239"/>
    </row>
    <row r="501" spans="2:9" ht="12.75">
      <c r="B501" s="238"/>
      <c r="H501" s="155"/>
      <c r="I501" s="239"/>
    </row>
    <row r="502" spans="2:9" ht="12.75">
      <c r="B502" s="238"/>
      <c r="H502" s="155"/>
      <c r="I502" s="239"/>
    </row>
    <row r="503" spans="2:9" ht="12.75">
      <c r="B503" s="238"/>
      <c r="H503" s="155"/>
      <c r="I503" s="239"/>
    </row>
    <row r="504" spans="2:9" ht="12.75">
      <c r="B504" s="238"/>
      <c r="H504" s="155"/>
      <c r="I504" s="239"/>
    </row>
    <row r="505" spans="2:9" ht="12.75">
      <c r="B505" s="238"/>
      <c r="H505" s="155"/>
      <c r="I505" s="239"/>
    </row>
    <row r="506" spans="2:9" ht="12.75">
      <c r="B506" s="238"/>
      <c r="H506" s="155"/>
      <c r="I506" s="239"/>
    </row>
    <row r="507" spans="2:9" ht="12.75">
      <c r="B507" s="238"/>
      <c r="H507" s="155"/>
      <c r="I507" s="239"/>
    </row>
    <row r="508" spans="2:9" ht="12.75">
      <c r="B508" s="238"/>
      <c r="H508" s="155"/>
      <c r="I508" s="239"/>
    </row>
    <row r="509" spans="2:9" ht="12.75">
      <c r="B509" s="238"/>
      <c r="H509" s="155"/>
      <c r="I509" s="239"/>
    </row>
    <row r="510" spans="2:9" ht="12.75">
      <c r="B510" s="238"/>
      <c r="H510" s="155"/>
      <c r="I510" s="239"/>
    </row>
    <row r="511" spans="2:9" ht="12.75">
      <c r="B511" s="238"/>
      <c r="H511" s="155"/>
      <c r="I511" s="239"/>
    </row>
    <row r="512" spans="2:9" ht="12.75">
      <c r="B512" s="238"/>
      <c r="H512" s="155"/>
      <c r="I512" s="239"/>
    </row>
    <row r="513" spans="2:9" ht="12.75">
      <c r="B513" s="238"/>
      <c r="H513" s="155"/>
      <c r="I513" s="239"/>
    </row>
    <row r="514" spans="2:9" ht="12.75">
      <c r="B514" s="238"/>
      <c r="H514" s="155"/>
      <c r="I514" s="239"/>
    </row>
    <row r="515" spans="2:9" ht="12.75">
      <c r="B515" s="238"/>
      <c r="H515" s="155"/>
      <c r="I515" s="239"/>
    </row>
    <row r="516" spans="2:9" ht="12.75">
      <c r="B516" s="238"/>
      <c r="H516" s="155"/>
      <c r="I516" s="239"/>
    </row>
    <row r="517" spans="2:9" ht="12.75">
      <c r="B517" s="238"/>
      <c r="H517" s="155"/>
      <c r="I517" s="239"/>
    </row>
    <row r="518" spans="2:9" ht="12.75">
      <c r="B518" s="238"/>
      <c r="H518" s="155"/>
      <c r="I518" s="239"/>
    </row>
    <row r="519" spans="2:9" ht="12.75">
      <c r="B519" s="238"/>
      <c r="H519" s="155"/>
      <c r="I519" s="239"/>
    </row>
    <row r="520" spans="2:9" ht="12.75">
      <c r="B520" s="238"/>
      <c r="H520" s="155"/>
      <c r="I520" s="239"/>
    </row>
    <row r="521" spans="2:9" ht="12.75">
      <c r="B521" s="238"/>
      <c r="H521" s="155"/>
      <c r="I521" s="239"/>
    </row>
    <row r="522" spans="2:9" ht="12.75">
      <c r="B522" s="238"/>
      <c r="H522" s="155"/>
      <c r="I522" s="239"/>
    </row>
    <row r="523" spans="2:9" ht="12.75">
      <c r="B523" s="238"/>
      <c r="H523" s="155"/>
      <c r="I523" s="239"/>
    </row>
    <row r="524" spans="2:9" ht="12.75">
      <c r="B524" s="238"/>
      <c r="H524" s="155"/>
      <c r="I524" s="239"/>
    </row>
    <row r="525" spans="2:9" ht="12.75">
      <c r="B525" s="238"/>
      <c r="H525" s="155"/>
      <c r="I525" s="239"/>
    </row>
    <row r="526" spans="2:9" ht="12.75">
      <c r="B526" s="238"/>
      <c r="H526" s="155"/>
      <c r="I526" s="239"/>
    </row>
    <row r="527" spans="2:9" ht="12.75">
      <c r="B527" s="238"/>
      <c r="H527" s="155"/>
      <c r="I527" s="239"/>
    </row>
    <row r="528" spans="2:9" ht="12.75">
      <c r="B528" s="238"/>
      <c r="H528" s="155"/>
      <c r="I528" s="239"/>
    </row>
    <row r="529" spans="2:9" ht="12.75">
      <c r="B529" s="238"/>
      <c r="H529" s="155"/>
      <c r="I529" s="239"/>
    </row>
    <row r="530" spans="2:9" ht="12.75">
      <c r="B530" s="238"/>
      <c r="H530" s="155"/>
      <c r="I530" s="239"/>
    </row>
    <row r="531" spans="2:9" ht="12.75">
      <c r="B531" s="238"/>
      <c r="H531" s="155"/>
      <c r="I531" s="239"/>
    </row>
    <row r="532" spans="2:9" ht="12.75">
      <c r="B532" s="238"/>
      <c r="H532" s="155"/>
      <c r="I532" s="239"/>
    </row>
    <row r="533" spans="2:9" ht="12.75">
      <c r="B533" s="238"/>
      <c r="H533" s="155"/>
      <c r="I533" s="239"/>
    </row>
    <row r="534" spans="2:9" ht="12.75">
      <c r="B534" s="238"/>
      <c r="H534" s="155"/>
      <c r="I534" s="239"/>
    </row>
    <row r="535" spans="2:9" ht="12.75">
      <c r="B535" s="238"/>
      <c r="H535" s="155"/>
      <c r="I535" s="239"/>
    </row>
    <row r="536" spans="2:9" ht="12.75">
      <c r="B536" s="238"/>
      <c r="H536" s="155"/>
      <c r="I536" s="239"/>
    </row>
    <row r="537" spans="2:9" ht="12.75">
      <c r="B537" s="238"/>
      <c r="H537" s="155"/>
      <c r="I537" s="239"/>
    </row>
    <row r="538" spans="2:9" ht="12.75">
      <c r="B538" s="238"/>
      <c r="H538" s="155"/>
      <c r="I538" s="239"/>
    </row>
    <row r="539" spans="2:9" ht="12.75">
      <c r="B539" s="238"/>
      <c r="H539" s="155"/>
      <c r="I539" s="239"/>
    </row>
    <row r="540" spans="2:9" ht="12.75">
      <c r="B540" s="238"/>
      <c r="H540" s="155"/>
      <c r="I540" s="239"/>
    </row>
    <row r="541" spans="2:9" ht="12.75">
      <c r="B541" s="238"/>
      <c r="H541" s="155"/>
      <c r="I541" s="239"/>
    </row>
    <row r="542" spans="2:9" ht="12.75">
      <c r="B542" s="238"/>
      <c r="H542" s="155"/>
      <c r="I542" s="239"/>
    </row>
    <row r="543" spans="2:9" ht="12.75">
      <c r="B543" s="238"/>
      <c r="H543" s="155"/>
      <c r="I543" s="239"/>
    </row>
    <row r="544" spans="2:9" ht="12.75">
      <c r="B544" s="238"/>
      <c r="H544" s="155"/>
      <c r="I544" s="239"/>
    </row>
    <row r="545" spans="2:9" ht="12.75">
      <c r="B545" s="238"/>
      <c r="H545" s="155"/>
      <c r="I545" s="239"/>
    </row>
    <row r="546" spans="2:9" ht="12.75">
      <c r="B546" s="238"/>
      <c r="H546" s="155"/>
      <c r="I546" s="239"/>
    </row>
    <row r="547" spans="2:9" ht="12.75">
      <c r="B547" s="238"/>
      <c r="H547" s="155"/>
      <c r="I547" s="239"/>
    </row>
    <row r="548" spans="2:9" ht="12.75">
      <c r="B548" s="238"/>
      <c r="H548" s="155"/>
      <c r="I548" s="239"/>
    </row>
    <row r="549" spans="2:9" ht="12.75">
      <c r="B549" s="238"/>
      <c r="H549" s="155"/>
      <c r="I549" s="239"/>
    </row>
    <row r="550" spans="2:9" ht="12.75">
      <c r="B550" s="238"/>
      <c r="H550" s="155"/>
      <c r="I550" s="239"/>
    </row>
    <row r="551" spans="2:9" ht="12.75">
      <c r="B551" s="238"/>
      <c r="H551" s="155"/>
      <c r="I551" s="239"/>
    </row>
    <row r="552" spans="2:9" ht="12.75">
      <c r="B552" s="238"/>
      <c r="H552" s="155"/>
      <c r="I552" s="239"/>
    </row>
    <row r="553" spans="2:9" ht="12.75">
      <c r="B553" s="238"/>
      <c r="H553" s="155"/>
      <c r="I553" s="239"/>
    </row>
    <row r="554" spans="2:9" ht="12.75">
      <c r="B554" s="238"/>
      <c r="H554" s="155"/>
      <c r="I554" s="239"/>
    </row>
    <row r="555" spans="2:9" ht="12.75">
      <c r="B555" s="238"/>
      <c r="H555" s="155"/>
      <c r="I555" s="239"/>
    </row>
    <row r="556" spans="2:9" ht="12.75">
      <c r="B556" s="238"/>
      <c r="H556" s="155"/>
      <c r="I556" s="239"/>
    </row>
    <row r="557" spans="2:9" ht="12.75">
      <c r="B557" s="238"/>
      <c r="H557" s="155"/>
      <c r="I557" s="239"/>
    </row>
    <row r="558" spans="2:9" ht="12.75">
      <c r="B558" s="238"/>
      <c r="H558" s="155"/>
      <c r="I558" s="239"/>
    </row>
    <row r="559" spans="2:9" ht="12.75">
      <c r="B559" s="238"/>
      <c r="H559" s="155"/>
      <c r="I559" s="239"/>
    </row>
    <row r="560" spans="2:9" ht="12.75">
      <c r="B560" s="238"/>
      <c r="H560" s="155"/>
      <c r="I560" s="239"/>
    </row>
    <row r="561" spans="2:9" ht="12.75">
      <c r="B561" s="238"/>
      <c r="H561" s="155"/>
      <c r="I561" s="239"/>
    </row>
    <row r="562" spans="2:9" ht="12.75">
      <c r="B562" s="238"/>
      <c r="H562" s="155"/>
      <c r="I562" s="239"/>
    </row>
    <row r="563" spans="2:9" ht="12.75">
      <c r="B563" s="238"/>
      <c r="H563" s="155"/>
      <c r="I563" s="239"/>
    </row>
    <row r="564" spans="2:9" ht="12.75">
      <c r="B564" s="238"/>
      <c r="H564" s="155"/>
      <c r="I564" s="239"/>
    </row>
    <row r="565" spans="2:9" ht="12.75">
      <c r="B565" s="238"/>
      <c r="H565" s="155"/>
      <c r="I565" s="239"/>
    </row>
    <row r="566" spans="2:9" ht="12.75">
      <c r="B566" s="238"/>
      <c r="H566" s="155"/>
      <c r="I566" s="239"/>
    </row>
    <row r="567" spans="2:9" ht="12.75">
      <c r="B567" s="238"/>
      <c r="H567" s="155"/>
      <c r="I567" s="239"/>
    </row>
    <row r="568" spans="2:9" ht="12.75">
      <c r="B568" s="238"/>
      <c r="H568" s="155"/>
      <c r="I568" s="239"/>
    </row>
    <row r="569" spans="2:9" ht="12.75">
      <c r="B569" s="238"/>
      <c r="H569" s="155"/>
      <c r="I569" s="239"/>
    </row>
    <row r="570" spans="2:9" ht="12.75">
      <c r="B570" s="238"/>
      <c r="H570" s="155"/>
      <c r="I570" s="239"/>
    </row>
    <row r="571" spans="2:9" ht="12.75">
      <c r="B571" s="238"/>
      <c r="H571" s="155"/>
      <c r="I571" s="239"/>
    </row>
    <row r="572" spans="2:9" ht="12.75">
      <c r="B572" s="238"/>
      <c r="H572" s="155"/>
      <c r="I572" s="239"/>
    </row>
    <row r="573" spans="2:9" ht="12.75">
      <c r="B573" s="238"/>
      <c r="H573" s="155"/>
      <c r="I573" s="239"/>
    </row>
    <row r="574" spans="2:9" ht="12.75">
      <c r="B574" s="238"/>
      <c r="H574" s="155"/>
      <c r="I574" s="239"/>
    </row>
    <row r="575" spans="2:9" ht="12.75">
      <c r="B575" s="238"/>
      <c r="H575" s="155"/>
      <c r="I575" s="239"/>
    </row>
    <row r="576" spans="2:9" ht="12.75">
      <c r="B576" s="238"/>
      <c r="H576" s="155"/>
      <c r="I576" s="239"/>
    </row>
    <row r="577" spans="2:9" ht="12.75">
      <c r="B577" s="238"/>
      <c r="H577" s="155"/>
      <c r="I577" s="239"/>
    </row>
    <row r="578" spans="2:9" ht="12.75">
      <c r="B578" s="238"/>
      <c r="H578" s="155"/>
      <c r="I578" s="239"/>
    </row>
    <row r="579" spans="2:9" ht="12.75">
      <c r="B579" s="238"/>
      <c r="H579" s="155"/>
      <c r="I579" s="239"/>
    </row>
    <row r="580" spans="2:9" ht="12.75">
      <c r="B580" s="238"/>
      <c r="H580" s="155"/>
      <c r="I580" s="239"/>
    </row>
    <row r="581" spans="2:9" ht="12.75">
      <c r="B581" s="238"/>
      <c r="H581" s="155"/>
      <c r="I581" s="239"/>
    </row>
    <row r="582" spans="2:9" ht="12.75">
      <c r="B582" s="238"/>
      <c r="H582" s="155"/>
      <c r="I582" s="239"/>
    </row>
    <row r="583" spans="2:9" ht="12.75">
      <c r="B583" s="238"/>
      <c r="H583" s="155"/>
      <c r="I583" s="239"/>
    </row>
    <row r="584" spans="2:9" ht="12.75">
      <c r="B584" s="238"/>
      <c r="H584" s="155"/>
      <c r="I584" s="239"/>
    </row>
    <row r="585" spans="2:9" ht="12.75">
      <c r="B585" s="238"/>
      <c r="H585" s="155"/>
      <c r="I585" s="239"/>
    </row>
    <row r="586" spans="2:9" ht="12.75">
      <c r="B586" s="238"/>
      <c r="H586" s="155"/>
      <c r="I586" s="239"/>
    </row>
    <row r="587" spans="2:9" ht="12.75">
      <c r="B587" s="238"/>
      <c r="H587" s="155"/>
      <c r="I587" s="239"/>
    </row>
    <row r="588" spans="2:9" ht="12.75">
      <c r="B588" s="238"/>
      <c r="H588" s="155"/>
      <c r="I588" s="239"/>
    </row>
    <row r="589" spans="2:9" ht="12.75">
      <c r="B589" s="238"/>
      <c r="H589" s="155"/>
      <c r="I589" s="239"/>
    </row>
    <row r="590" spans="2:9" ht="12.75">
      <c r="B590" s="238"/>
      <c r="H590" s="155"/>
      <c r="I590" s="239"/>
    </row>
    <row r="591" spans="2:9" ht="12.75">
      <c r="B591" s="238"/>
      <c r="H591" s="155"/>
      <c r="I591" s="239"/>
    </row>
    <row r="592" spans="2:9" ht="12.75">
      <c r="B592" s="238"/>
      <c r="H592" s="155"/>
      <c r="I592" s="239"/>
    </row>
    <row r="593" spans="2:9" ht="12.75">
      <c r="B593" s="238"/>
      <c r="H593" s="155"/>
      <c r="I593" s="239"/>
    </row>
    <row r="594" spans="2:9" ht="12.75">
      <c r="B594" s="238"/>
      <c r="H594" s="155"/>
      <c r="I594" s="239"/>
    </row>
    <row r="595" spans="2:9" ht="12.75">
      <c r="B595" s="238"/>
      <c r="H595" s="155"/>
      <c r="I595" s="239"/>
    </row>
    <row r="596" spans="2:9" ht="12.75">
      <c r="B596" s="238"/>
      <c r="H596" s="155"/>
      <c r="I596" s="239"/>
    </row>
    <row r="597" spans="2:9" ht="12.75">
      <c r="B597" s="238"/>
      <c r="H597" s="155"/>
      <c r="I597" s="239"/>
    </row>
    <row r="598" spans="2:9" ht="12.75">
      <c r="B598" s="238"/>
      <c r="H598" s="155"/>
      <c r="I598" s="239"/>
    </row>
    <row r="599" spans="2:9" ht="12.75">
      <c r="B599" s="238"/>
      <c r="H599" s="155"/>
      <c r="I599" s="239"/>
    </row>
    <row r="600" spans="2:9" ht="12.75">
      <c r="B600" s="238"/>
      <c r="H600" s="155"/>
      <c r="I600" s="239"/>
    </row>
    <row r="601" spans="2:9" ht="12.75">
      <c r="B601" s="238"/>
      <c r="H601" s="155"/>
      <c r="I601" s="239"/>
    </row>
    <row r="602" spans="2:9" ht="12.75">
      <c r="B602" s="238"/>
      <c r="H602" s="155"/>
      <c r="I602" s="239"/>
    </row>
    <row r="603" spans="2:9" ht="12.75">
      <c r="B603" s="238"/>
      <c r="H603" s="155"/>
      <c r="I603" s="239"/>
    </row>
    <row r="604" spans="2:9" ht="12.75">
      <c r="B604" s="238"/>
      <c r="H604" s="155"/>
      <c r="I604" s="239"/>
    </row>
    <row r="605" spans="2:9" ht="12.75">
      <c r="B605" s="238"/>
      <c r="H605" s="155"/>
      <c r="I605" s="239"/>
    </row>
    <row r="606" spans="2:9" ht="12.75">
      <c r="B606" s="238"/>
      <c r="H606" s="155"/>
      <c r="I606" s="239"/>
    </row>
    <row r="607" spans="2:9" ht="12.75">
      <c r="B607" s="238"/>
      <c r="H607" s="155"/>
      <c r="I607" s="239"/>
    </row>
    <row r="608" spans="2:9" ht="12.75">
      <c r="B608" s="238"/>
      <c r="H608" s="155"/>
      <c r="I608" s="239"/>
    </row>
    <row r="609" spans="2:9" ht="12.75">
      <c r="B609" s="238"/>
      <c r="H609" s="155"/>
      <c r="I609" s="239"/>
    </row>
    <row r="610" spans="2:9" ht="12.75">
      <c r="B610" s="238"/>
      <c r="H610" s="155"/>
      <c r="I610" s="239"/>
    </row>
    <row r="611" spans="2:9" ht="12.75">
      <c r="B611" s="238"/>
      <c r="H611" s="155"/>
      <c r="I611" s="239"/>
    </row>
    <row r="612" spans="2:9" ht="12.75">
      <c r="B612" s="238"/>
      <c r="H612" s="155"/>
      <c r="I612" s="239"/>
    </row>
    <row r="613" spans="2:9" ht="12.75">
      <c r="B613" s="238"/>
      <c r="H613" s="155"/>
      <c r="I613" s="239"/>
    </row>
    <row r="614" spans="2:9" ht="12.75">
      <c r="B614" s="238"/>
      <c r="H614" s="155"/>
      <c r="I614" s="239"/>
    </row>
    <row r="615" spans="2:9" ht="12.75">
      <c r="B615" s="238"/>
      <c r="H615" s="155"/>
      <c r="I615" s="239"/>
    </row>
    <row r="616" spans="2:9" ht="12.75">
      <c r="B616" s="238"/>
      <c r="H616" s="155"/>
      <c r="I616" s="239"/>
    </row>
    <row r="617" spans="2:9" ht="12.75">
      <c r="B617" s="238"/>
      <c r="H617" s="155"/>
      <c r="I617" s="239"/>
    </row>
    <row r="618" spans="2:9" ht="12.75">
      <c r="B618" s="238"/>
      <c r="H618" s="155"/>
      <c r="I618" s="239"/>
    </row>
    <row r="619" spans="2:9" ht="12.75">
      <c r="B619" s="238"/>
      <c r="H619" s="155"/>
      <c r="I619" s="239"/>
    </row>
    <row r="620" spans="2:9" ht="12.75">
      <c r="B620" s="238"/>
      <c r="H620" s="155"/>
      <c r="I620" s="239"/>
    </row>
    <row r="621" spans="2:9" ht="12.75">
      <c r="B621" s="238"/>
      <c r="H621" s="155"/>
      <c r="I621" s="239"/>
    </row>
    <row r="622" spans="2:9" ht="12.75">
      <c r="B622" s="238"/>
      <c r="H622" s="155"/>
      <c r="I622" s="239"/>
    </row>
    <row r="623" spans="2:9" ht="12.75">
      <c r="B623" s="238"/>
      <c r="H623" s="155"/>
      <c r="I623" s="239"/>
    </row>
    <row r="624" spans="2:9" ht="12.75">
      <c r="B624" s="238"/>
      <c r="H624" s="155"/>
      <c r="I624" s="239"/>
    </row>
    <row r="625" spans="2:9" ht="12.75">
      <c r="B625" s="238"/>
      <c r="H625" s="155"/>
      <c r="I625" s="239"/>
    </row>
    <row r="626" spans="2:9" ht="12.75">
      <c r="B626" s="238"/>
      <c r="H626" s="155"/>
      <c r="I626" s="239"/>
    </row>
    <row r="627" spans="2:9" ht="12.75">
      <c r="B627" s="238"/>
      <c r="H627" s="155"/>
      <c r="I627" s="239"/>
    </row>
    <row r="628" spans="2:9" ht="12.75">
      <c r="B628" s="238"/>
      <c r="H628" s="155"/>
      <c r="I628" s="239"/>
    </row>
    <row r="629" spans="2:9" ht="12.75">
      <c r="B629" s="238"/>
      <c r="H629" s="155"/>
      <c r="I629" s="239"/>
    </row>
    <row r="630" spans="2:9" ht="12.75">
      <c r="B630" s="238"/>
      <c r="H630" s="155"/>
      <c r="I630" s="239"/>
    </row>
    <row r="631" spans="2:9" ht="12.75">
      <c r="B631" s="238"/>
      <c r="H631" s="155"/>
      <c r="I631" s="239"/>
    </row>
    <row r="632" spans="2:9" ht="12.75">
      <c r="B632" s="238"/>
      <c r="H632" s="155"/>
      <c r="I632" s="239"/>
    </row>
    <row r="633" spans="2:9" ht="12.75">
      <c r="B633" s="238"/>
      <c r="H633" s="155"/>
      <c r="I633" s="239"/>
    </row>
    <row r="634" spans="2:9" ht="12.75">
      <c r="B634" s="238"/>
      <c r="H634" s="155"/>
      <c r="I634" s="239"/>
    </row>
    <row r="635" spans="2:9" ht="12.75">
      <c r="B635" s="238"/>
      <c r="H635" s="155"/>
      <c r="I635" s="239"/>
    </row>
    <row r="636" spans="2:9" ht="12.75">
      <c r="B636" s="238"/>
      <c r="H636" s="155"/>
      <c r="I636" s="239"/>
    </row>
    <row r="637" spans="2:9" ht="12.75">
      <c r="B637" s="238"/>
      <c r="H637" s="155"/>
      <c r="I637" s="239"/>
    </row>
    <row r="638" spans="2:9" ht="12.75">
      <c r="B638" s="238"/>
      <c r="H638" s="155"/>
      <c r="I638" s="239"/>
    </row>
    <row r="639" spans="2:9" ht="12.75">
      <c r="B639" s="238"/>
      <c r="H639" s="155"/>
      <c r="I639" s="239"/>
    </row>
    <row r="640" spans="2:9" ht="12.75">
      <c r="B640" s="238"/>
      <c r="H640" s="155"/>
      <c r="I640" s="239"/>
    </row>
    <row r="641" spans="2:9" ht="12.75">
      <c r="B641" s="238"/>
      <c r="H641" s="155"/>
      <c r="I641" s="239"/>
    </row>
    <row r="642" spans="2:9" ht="12.75">
      <c r="B642" s="238"/>
      <c r="H642" s="155"/>
      <c r="I642" s="239"/>
    </row>
    <row r="643" spans="2:9" ht="12.75">
      <c r="B643" s="238"/>
      <c r="H643" s="155"/>
      <c r="I643" s="239"/>
    </row>
    <row r="644" spans="2:9" ht="12.75">
      <c r="B644" s="238"/>
      <c r="H644" s="155"/>
      <c r="I644" s="239"/>
    </row>
    <row r="645" spans="2:9" ht="12.75">
      <c r="B645" s="238"/>
      <c r="H645" s="155"/>
      <c r="I645" s="239"/>
    </row>
    <row r="646" spans="2:9" ht="12.75">
      <c r="B646" s="238"/>
      <c r="H646" s="155"/>
      <c r="I646" s="239"/>
    </row>
    <row r="647" spans="2:9" ht="12.75">
      <c r="B647" s="238"/>
      <c r="H647" s="155"/>
      <c r="I647" s="239"/>
    </row>
    <row r="648" spans="2:9" ht="12.75">
      <c r="B648" s="238"/>
      <c r="H648" s="155"/>
      <c r="I648" s="239"/>
    </row>
    <row r="649" spans="2:9" ht="12.75">
      <c r="B649" s="238"/>
      <c r="H649" s="155"/>
      <c r="I649" s="239"/>
    </row>
    <row r="650" spans="2:9" ht="12.75">
      <c r="B650" s="238"/>
      <c r="H650" s="155"/>
      <c r="I650" s="239"/>
    </row>
    <row r="651" spans="2:9" ht="12.75">
      <c r="B651" s="238"/>
      <c r="H651" s="155"/>
      <c r="I651" s="239"/>
    </row>
    <row r="652" spans="2:9" ht="12.75">
      <c r="B652" s="238"/>
      <c r="H652" s="155"/>
      <c r="I652" s="239"/>
    </row>
    <row r="653" spans="2:9" ht="12.75">
      <c r="B653" s="238"/>
      <c r="H653" s="155"/>
      <c r="I653" s="239"/>
    </row>
    <row r="654" spans="2:9" ht="12.75">
      <c r="B654" s="238"/>
      <c r="H654" s="155"/>
      <c r="I654" s="239"/>
    </row>
    <row r="655" spans="2:9" ht="12.75">
      <c r="B655" s="238"/>
      <c r="H655" s="155"/>
      <c r="I655" s="239"/>
    </row>
    <row r="656" spans="2:9" ht="12.75">
      <c r="B656" s="238"/>
      <c r="H656" s="155"/>
      <c r="I656" s="239"/>
    </row>
    <row r="657" spans="2:9" ht="12.75">
      <c r="B657" s="238"/>
      <c r="H657" s="155"/>
      <c r="I657" s="239"/>
    </row>
    <row r="658" spans="2:9" ht="12.75">
      <c r="B658" s="238"/>
      <c r="H658" s="155"/>
      <c r="I658" s="239"/>
    </row>
    <row r="659" spans="2:9" ht="12.75">
      <c r="B659" s="238"/>
      <c r="H659" s="155"/>
      <c r="I659" s="239"/>
    </row>
    <row r="660" spans="2:9" ht="12.75">
      <c r="B660" s="238"/>
      <c r="H660" s="155"/>
      <c r="I660" s="239"/>
    </row>
    <row r="661" spans="2:9" ht="12.75">
      <c r="B661" s="238"/>
      <c r="H661" s="155"/>
      <c r="I661" s="239"/>
    </row>
    <row r="662" spans="2:9" ht="12.75">
      <c r="B662" s="238"/>
      <c r="H662" s="155"/>
      <c r="I662" s="239"/>
    </row>
    <row r="663" spans="2:9" ht="12.75">
      <c r="B663" s="238"/>
      <c r="H663" s="155"/>
      <c r="I663" s="239"/>
    </row>
    <row r="664" spans="2:9" ht="12.75">
      <c r="B664" s="238"/>
      <c r="H664" s="155"/>
      <c r="I664" s="239"/>
    </row>
    <row r="665" spans="2:9" ht="12.75">
      <c r="B665" s="238"/>
      <c r="H665" s="155"/>
      <c r="I665" s="239"/>
    </row>
    <row r="666" spans="2:9" ht="12.75">
      <c r="B666" s="238"/>
      <c r="H666" s="155"/>
      <c r="I666" s="239"/>
    </row>
    <row r="667" spans="2:9" ht="12.75">
      <c r="B667" s="238"/>
      <c r="H667" s="155"/>
      <c r="I667" s="239"/>
    </row>
    <row r="668" spans="2:9" ht="12.75">
      <c r="B668" s="238"/>
      <c r="H668" s="155"/>
      <c r="I668" s="239"/>
    </row>
    <row r="669" spans="2:9" ht="12.75">
      <c r="B669" s="238"/>
      <c r="H669" s="155"/>
      <c r="I669" s="239"/>
    </row>
    <row r="670" spans="2:9" ht="12.75">
      <c r="B670" s="238"/>
      <c r="H670" s="155"/>
      <c r="I670" s="239"/>
    </row>
    <row r="671" spans="2:9" ht="12.75">
      <c r="B671" s="238"/>
      <c r="H671" s="155"/>
      <c r="I671" s="239"/>
    </row>
    <row r="672" spans="2:9" ht="12.75">
      <c r="B672" s="238"/>
      <c r="H672" s="155"/>
      <c r="I672" s="239"/>
    </row>
    <row r="673" spans="2:9" ht="12.75">
      <c r="B673" s="238"/>
      <c r="H673" s="155"/>
      <c r="I673" s="239"/>
    </row>
    <row r="674" spans="2:9" ht="12.75">
      <c r="B674" s="238"/>
      <c r="H674" s="155"/>
      <c r="I674" s="239"/>
    </row>
    <row r="675" spans="2:9" ht="12.75">
      <c r="B675" s="238"/>
      <c r="H675" s="155"/>
      <c r="I675" s="239"/>
    </row>
    <row r="676" spans="2:9" ht="12.75">
      <c r="B676" s="238"/>
      <c r="H676" s="155"/>
      <c r="I676" s="239"/>
    </row>
    <row r="677" spans="2:9" ht="12.75">
      <c r="B677" s="238"/>
      <c r="H677" s="155"/>
      <c r="I677" s="239"/>
    </row>
    <row r="678" spans="2:9" ht="12.75">
      <c r="B678" s="238"/>
      <c r="H678" s="155"/>
      <c r="I678" s="239"/>
    </row>
    <row r="679" spans="2:9" ht="12.75">
      <c r="B679" s="238"/>
      <c r="H679" s="155"/>
      <c r="I679" s="239"/>
    </row>
    <row r="680" spans="2:9" ht="12.75">
      <c r="B680" s="238"/>
      <c r="H680" s="155"/>
      <c r="I680" s="239"/>
    </row>
    <row r="681" spans="2:9" ht="12.75">
      <c r="B681" s="238"/>
      <c r="H681" s="155"/>
      <c r="I681" s="239"/>
    </row>
    <row r="682" spans="2:9" ht="12.75">
      <c r="B682" s="238"/>
      <c r="H682" s="155"/>
      <c r="I682" s="239"/>
    </row>
    <row r="683" spans="2:9" ht="12.75">
      <c r="B683" s="238"/>
      <c r="H683" s="155"/>
      <c r="I683" s="239"/>
    </row>
    <row r="684" spans="2:9" ht="12.75">
      <c r="B684" s="238"/>
      <c r="H684" s="155"/>
      <c r="I684" s="239"/>
    </row>
    <row r="685" spans="2:9" ht="12.75">
      <c r="B685" s="238"/>
      <c r="H685" s="155"/>
      <c r="I685" s="239"/>
    </row>
    <row r="686" spans="2:9" ht="12.75">
      <c r="B686" s="238"/>
      <c r="H686" s="155"/>
      <c r="I686" s="239"/>
    </row>
    <row r="687" spans="2:9" ht="12.75">
      <c r="B687" s="238"/>
      <c r="H687" s="155"/>
      <c r="I687" s="239"/>
    </row>
    <row r="688" spans="2:9" ht="12.75">
      <c r="B688" s="238"/>
      <c r="H688" s="155"/>
      <c r="I688" s="239"/>
    </row>
    <row r="689" spans="2:9" ht="12.75">
      <c r="B689" s="238"/>
      <c r="H689" s="155"/>
      <c r="I689" s="239"/>
    </row>
    <row r="690" spans="2:9" ht="12.75">
      <c r="B690" s="238"/>
      <c r="H690" s="155"/>
      <c r="I690" s="239"/>
    </row>
    <row r="691" spans="2:9" ht="12.75">
      <c r="B691" s="238"/>
      <c r="H691" s="155"/>
      <c r="I691" s="239"/>
    </row>
    <row r="692" spans="2:9" ht="12.75">
      <c r="B692" s="238"/>
      <c r="H692" s="155"/>
      <c r="I692" s="239"/>
    </row>
    <row r="693" spans="2:9" ht="12.75">
      <c r="B693" s="238"/>
      <c r="H693" s="155"/>
      <c r="I693" s="239"/>
    </row>
    <row r="694" spans="2:9" ht="12.75">
      <c r="B694" s="238"/>
      <c r="H694" s="155"/>
      <c r="I694" s="239"/>
    </row>
    <row r="695" spans="2:9" ht="12.75">
      <c r="B695" s="238"/>
      <c r="H695" s="155"/>
      <c r="I695" s="239"/>
    </row>
    <row r="696" spans="2:9" ht="12.75">
      <c r="B696" s="238"/>
      <c r="H696" s="155"/>
      <c r="I696" s="239"/>
    </row>
    <row r="697" spans="2:9" ht="12.75">
      <c r="B697" s="238"/>
      <c r="H697" s="155"/>
      <c r="I697" s="239"/>
    </row>
    <row r="698" spans="2:9" ht="12.75">
      <c r="B698" s="238"/>
      <c r="H698" s="155"/>
      <c r="I698" s="239"/>
    </row>
    <row r="699" spans="2:9" ht="12.75">
      <c r="B699" s="238"/>
      <c r="H699" s="155"/>
      <c r="I699" s="239"/>
    </row>
    <row r="700" spans="2:9" ht="12.75">
      <c r="B700" s="238"/>
      <c r="H700" s="155"/>
      <c r="I700" s="239"/>
    </row>
    <row r="701" spans="2:9" ht="12.75">
      <c r="B701" s="238"/>
      <c r="H701" s="155"/>
      <c r="I701" s="239"/>
    </row>
    <row r="702" spans="2:9" ht="12.75">
      <c r="B702" s="238"/>
      <c r="H702" s="155"/>
      <c r="I702" s="239"/>
    </row>
    <row r="703" spans="2:9" ht="12.75">
      <c r="B703" s="238"/>
      <c r="H703" s="155"/>
      <c r="I703" s="239"/>
    </row>
    <row r="704" spans="2:9" ht="12.75">
      <c r="B704" s="238"/>
      <c r="H704" s="155"/>
      <c r="I704" s="239"/>
    </row>
    <row r="705" spans="2:9" ht="12.75">
      <c r="B705" s="238"/>
      <c r="H705" s="155"/>
      <c r="I705" s="239"/>
    </row>
    <row r="706" spans="2:9" ht="12.75">
      <c r="B706" s="238"/>
      <c r="H706" s="155"/>
      <c r="I706" s="239"/>
    </row>
    <row r="707" spans="2:9" ht="12.75">
      <c r="B707" s="238"/>
      <c r="H707" s="155"/>
      <c r="I707" s="239"/>
    </row>
    <row r="708" spans="2:9" ht="12.75">
      <c r="B708" s="238"/>
      <c r="H708" s="155"/>
      <c r="I708" s="239"/>
    </row>
    <row r="709" spans="2:9" ht="12.75">
      <c r="B709" s="238"/>
      <c r="H709" s="155"/>
      <c r="I709" s="239"/>
    </row>
    <row r="710" spans="2:9" ht="12.75">
      <c r="B710" s="238"/>
      <c r="H710" s="155"/>
      <c r="I710" s="239"/>
    </row>
    <row r="711" spans="2:9" ht="12.75">
      <c r="B711" s="238"/>
      <c r="H711" s="155"/>
      <c r="I711" s="239"/>
    </row>
    <row r="712" spans="2:9" ht="12.75">
      <c r="B712" s="238"/>
      <c r="H712" s="155"/>
      <c r="I712" s="239"/>
    </row>
    <row r="713" spans="2:9" ht="12.75">
      <c r="B713" s="238"/>
      <c r="H713" s="155"/>
      <c r="I713" s="239"/>
    </row>
    <row r="714" spans="2:9" ht="12.75">
      <c r="B714" s="238"/>
      <c r="H714" s="155"/>
      <c r="I714" s="239"/>
    </row>
    <row r="715" spans="2:9" ht="12.75">
      <c r="B715" s="238"/>
      <c r="H715" s="155"/>
      <c r="I715" s="239"/>
    </row>
    <row r="716" spans="2:9" ht="12.75">
      <c r="B716" s="238"/>
      <c r="H716" s="155"/>
      <c r="I716" s="239"/>
    </row>
    <row r="717" spans="2:9" ht="12.75">
      <c r="B717" s="238"/>
      <c r="H717" s="155"/>
      <c r="I717" s="239"/>
    </row>
    <row r="718" spans="2:9" ht="12.75">
      <c r="B718" s="238"/>
      <c r="H718" s="155"/>
      <c r="I718" s="239"/>
    </row>
    <row r="719" spans="2:9" ht="12.75">
      <c r="B719" s="238"/>
      <c r="H719" s="155"/>
      <c r="I719" s="239"/>
    </row>
    <row r="720" spans="2:9" ht="12.75">
      <c r="B720" s="238"/>
      <c r="H720" s="155"/>
      <c r="I720" s="239"/>
    </row>
    <row r="721" spans="2:9" ht="12.75">
      <c r="B721" s="238"/>
      <c r="H721" s="155"/>
      <c r="I721" s="239"/>
    </row>
    <row r="722" spans="2:9" ht="12.75">
      <c r="B722" s="238"/>
      <c r="H722" s="155"/>
      <c r="I722" s="239"/>
    </row>
    <row r="723" spans="2:9" ht="12.75">
      <c r="B723" s="238"/>
      <c r="H723" s="155"/>
      <c r="I723" s="239"/>
    </row>
    <row r="724" spans="2:9" ht="12.75">
      <c r="B724" s="238"/>
      <c r="H724" s="155"/>
      <c r="I724" s="239"/>
    </row>
    <row r="725" spans="2:9" ht="12.75">
      <c r="B725" s="238"/>
      <c r="H725" s="155"/>
      <c r="I725" s="239"/>
    </row>
    <row r="726" spans="2:9" ht="12.75">
      <c r="B726" s="238"/>
      <c r="H726" s="155"/>
      <c r="I726" s="239"/>
    </row>
    <row r="727" spans="2:9" ht="12.75">
      <c r="B727" s="238"/>
      <c r="H727" s="155"/>
      <c r="I727" s="239"/>
    </row>
    <row r="728" spans="2:9" ht="12.75">
      <c r="B728" s="238"/>
      <c r="H728" s="155"/>
      <c r="I728" s="239"/>
    </row>
    <row r="729" spans="2:9" ht="12.75">
      <c r="B729" s="238"/>
      <c r="H729" s="155"/>
      <c r="I729" s="239"/>
    </row>
    <row r="730" spans="2:9" ht="12.75">
      <c r="B730" s="238"/>
      <c r="H730" s="155"/>
      <c r="I730" s="239"/>
    </row>
    <row r="731" spans="2:9" ht="12.75">
      <c r="B731" s="238"/>
      <c r="H731" s="155"/>
      <c r="I731" s="239"/>
    </row>
    <row r="732" spans="2:9" ht="12.75">
      <c r="B732" s="238"/>
      <c r="H732" s="155"/>
      <c r="I732" s="239"/>
    </row>
    <row r="733" spans="2:9" ht="12.75">
      <c r="B733" s="238"/>
      <c r="H733" s="155"/>
      <c r="I733" s="239"/>
    </row>
    <row r="734" spans="2:9" ht="12.75">
      <c r="B734" s="238"/>
      <c r="H734" s="155"/>
      <c r="I734" s="239"/>
    </row>
    <row r="735" spans="2:9" ht="12.75">
      <c r="B735" s="238"/>
      <c r="H735" s="155"/>
      <c r="I735" s="239"/>
    </row>
    <row r="736" spans="2:9" ht="12.75">
      <c r="B736" s="238"/>
      <c r="H736" s="155"/>
      <c r="I736" s="239"/>
    </row>
    <row r="737" spans="2:9" ht="12.75">
      <c r="B737" s="238"/>
      <c r="H737" s="155"/>
      <c r="I737" s="239"/>
    </row>
    <row r="738" spans="2:9" ht="12.75">
      <c r="B738" s="238"/>
      <c r="H738" s="155"/>
      <c r="I738" s="239"/>
    </row>
    <row r="739" spans="2:9" ht="12.75">
      <c r="B739" s="238"/>
      <c r="H739" s="155"/>
      <c r="I739" s="239"/>
    </row>
    <row r="740" spans="2:9" ht="12.75">
      <c r="B740" s="238"/>
      <c r="H740" s="155"/>
      <c r="I740" s="239"/>
    </row>
    <row r="741" spans="2:9" ht="12.75">
      <c r="B741" s="238"/>
      <c r="H741" s="155"/>
      <c r="I741" s="239"/>
    </row>
    <row r="742" spans="2:9" ht="12.75">
      <c r="B742" s="238"/>
      <c r="H742" s="155"/>
      <c r="I742" s="239"/>
    </row>
    <row r="743" spans="2:9" ht="12.75">
      <c r="B743" s="238"/>
      <c r="H743" s="155"/>
      <c r="I743" s="239"/>
    </row>
    <row r="744" spans="2:9" ht="12.75">
      <c r="B744" s="238"/>
      <c r="H744" s="155"/>
      <c r="I744" s="239"/>
    </row>
    <row r="745" spans="2:9" ht="12.75">
      <c r="B745" s="238"/>
      <c r="H745" s="155"/>
      <c r="I745" s="239"/>
    </row>
    <row r="746" spans="2:9" ht="12.75">
      <c r="B746" s="238"/>
      <c r="H746" s="155"/>
      <c r="I746" s="239"/>
    </row>
    <row r="747" spans="2:9" ht="12.75">
      <c r="B747" s="238"/>
      <c r="H747" s="155"/>
      <c r="I747" s="239"/>
    </row>
    <row r="748" spans="2:9" ht="12.75">
      <c r="B748" s="238"/>
      <c r="H748" s="155"/>
      <c r="I748" s="239"/>
    </row>
    <row r="749" spans="2:9" ht="12.75">
      <c r="B749" s="238"/>
      <c r="H749" s="155"/>
      <c r="I749" s="239"/>
    </row>
    <row r="750" spans="2:9" ht="12.75">
      <c r="B750" s="238"/>
      <c r="H750" s="155"/>
      <c r="I750" s="239"/>
    </row>
    <row r="751" spans="2:9" ht="12.75">
      <c r="B751" s="238"/>
      <c r="H751" s="155"/>
      <c r="I751" s="239"/>
    </row>
    <row r="752" spans="2:9" ht="12.75">
      <c r="B752" s="238"/>
      <c r="H752" s="155"/>
      <c r="I752" s="239"/>
    </row>
    <row r="753" spans="2:9" ht="12.75">
      <c r="B753" s="238"/>
      <c r="H753" s="155"/>
      <c r="I753" s="239"/>
    </row>
    <row r="754" spans="2:9" ht="12.75">
      <c r="B754" s="238"/>
      <c r="H754" s="155"/>
      <c r="I754" s="239"/>
    </row>
    <row r="755" spans="2:9" ht="12.75">
      <c r="B755" s="238"/>
      <c r="H755" s="155"/>
      <c r="I755" s="239"/>
    </row>
    <row r="756" spans="2:9" ht="12.75">
      <c r="B756" s="238"/>
      <c r="H756" s="155"/>
      <c r="I756" s="239"/>
    </row>
    <row r="757" spans="2:9" ht="12.75">
      <c r="B757" s="238"/>
      <c r="H757" s="155"/>
      <c r="I757" s="239"/>
    </row>
    <row r="758" spans="2:9" ht="12.75">
      <c r="B758" s="238"/>
      <c r="H758" s="155"/>
      <c r="I758" s="239"/>
    </row>
    <row r="759" spans="2:9" ht="12.75">
      <c r="B759" s="238"/>
      <c r="H759" s="155"/>
      <c r="I759" s="239"/>
    </row>
    <row r="760" spans="2:9" ht="12.75">
      <c r="B760" s="238"/>
      <c r="H760" s="155"/>
      <c r="I760" s="239"/>
    </row>
    <row r="761" spans="2:9" ht="12.75">
      <c r="B761" s="238"/>
      <c r="H761" s="155"/>
      <c r="I761" s="239"/>
    </row>
    <row r="762" spans="2:9" ht="12.75">
      <c r="B762" s="238"/>
      <c r="H762" s="155"/>
      <c r="I762" s="239"/>
    </row>
    <row r="763" spans="2:9" ht="12.75">
      <c r="B763" s="238"/>
      <c r="H763" s="155"/>
      <c r="I763" s="239"/>
    </row>
    <row r="764" spans="2:9" ht="12.75">
      <c r="B764" s="238"/>
      <c r="H764" s="155"/>
      <c r="I764" s="239"/>
    </row>
    <row r="765" spans="2:9" ht="12.75">
      <c r="B765" s="238"/>
      <c r="H765" s="155"/>
      <c r="I765" s="239"/>
    </row>
    <row r="766" spans="2:9" ht="12.75">
      <c r="B766" s="238"/>
      <c r="H766" s="155"/>
      <c r="I766" s="239"/>
    </row>
    <row r="767" spans="2:9" ht="12.75">
      <c r="B767" s="238"/>
      <c r="H767" s="155"/>
      <c r="I767" s="239"/>
    </row>
    <row r="768" spans="2:9" ht="12.75">
      <c r="B768" s="238"/>
      <c r="H768" s="155"/>
      <c r="I768" s="239"/>
    </row>
    <row r="769" spans="2:9" ht="12.75">
      <c r="B769" s="238"/>
      <c r="H769" s="155"/>
      <c r="I769" s="239"/>
    </row>
    <row r="770" spans="2:9" ht="12.75">
      <c r="B770" s="238"/>
      <c r="H770" s="155"/>
      <c r="I770" s="239"/>
    </row>
    <row r="771" spans="2:9" ht="12.75">
      <c r="B771" s="238"/>
      <c r="H771" s="155"/>
      <c r="I771" s="239"/>
    </row>
    <row r="772" spans="2:9" ht="12.75">
      <c r="B772" s="238"/>
      <c r="H772" s="155"/>
      <c r="I772" s="239"/>
    </row>
    <row r="773" spans="2:9" ht="12.75">
      <c r="B773" s="238"/>
      <c r="H773" s="155"/>
      <c r="I773" s="239"/>
    </row>
    <row r="774" spans="2:9" ht="12.75">
      <c r="B774" s="238"/>
      <c r="H774" s="155"/>
      <c r="I774" s="239"/>
    </row>
    <row r="775" spans="2:9" ht="12.75">
      <c r="B775" s="238"/>
      <c r="H775" s="155"/>
      <c r="I775" s="239"/>
    </row>
    <row r="776" spans="2:9" ht="12.75">
      <c r="B776" s="238"/>
      <c r="H776" s="155"/>
      <c r="I776" s="239"/>
    </row>
    <row r="777" spans="2:9" ht="12.75">
      <c r="B777" s="238"/>
      <c r="H777" s="155"/>
      <c r="I777" s="239"/>
    </row>
    <row r="778" spans="2:9" ht="12.75">
      <c r="B778" s="238"/>
      <c r="H778" s="155"/>
      <c r="I778" s="239"/>
    </row>
    <row r="779" spans="2:9" ht="12.75">
      <c r="B779" s="238"/>
      <c r="H779" s="155"/>
      <c r="I779" s="239"/>
    </row>
    <row r="780" spans="2:9" ht="12.75">
      <c r="B780" s="238"/>
      <c r="H780" s="155"/>
      <c r="I780" s="239"/>
    </row>
    <row r="781" spans="2:9" ht="12.75">
      <c r="B781" s="238"/>
      <c r="H781" s="155"/>
      <c r="I781" s="239"/>
    </row>
    <row r="782" spans="2:9" ht="12.75">
      <c r="B782" s="238"/>
      <c r="H782" s="155"/>
      <c r="I782" s="239"/>
    </row>
    <row r="783" spans="2:9" ht="12.75">
      <c r="B783" s="238"/>
      <c r="H783" s="155"/>
      <c r="I783" s="239"/>
    </row>
    <row r="784" spans="2:9" ht="12.75">
      <c r="B784" s="238"/>
      <c r="H784" s="155"/>
      <c r="I784" s="239"/>
    </row>
    <row r="785" spans="2:9" ht="12.75">
      <c r="B785" s="238"/>
      <c r="H785" s="155"/>
      <c r="I785" s="239"/>
    </row>
    <row r="786" spans="2:9" ht="12.75">
      <c r="B786" s="238"/>
      <c r="H786" s="155"/>
      <c r="I786" s="239"/>
    </row>
    <row r="787" spans="2:9" ht="12.75">
      <c r="B787" s="238"/>
      <c r="H787" s="155"/>
      <c r="I787" s="239"/>
    </row>
    <row r="788" spans="2:9" ht="12.75">
      <c r="B788" s="238"/>
      <c r="H788" s="155"/>
      <c r="I788" s="239"/>
    </row>
    <row r="789" spans="2:9" ht="12.75">
      <c r="B789" s="238"/>
      <c r="H789" s="155"/>
      <c r="I789" s="239"/>
    </row>
    <row r="790" spans="2:9" ht="12.75">
      <c r="B790" s="238"/>
      <c r="H790" s="155"/>
      <c r="I790" s="239"/>
    </row>
    <row r="791" spans="2:9" ht="12.75">
      <c r="B791" s="238"/>
      <c r="H791" s="155"/>
      <c r="I791" s="239"/>
    </row>
    <row r="792" spans="2:9" ht="12.75">
      <c r="B792" s="238"/>
      <c r="H792" s="155"/>
      <c r="I792" s="239"/>
    </row>
    <row r="793" spans="2:9" ht="12.75">
      <c r="B793" s="238"/>
      <c r="H793" s="155"/>
      <c r="I793" s="239"/>
    </row>
    <row r="794" spans="2:9" ht="12.75">
      <c r="B794" s="238"/>
      <c r="H794" s="155"/>
      <c r="I794" s="239"/>
    </row>
    <row r="795" spans="2:9" ht="12.75">
      <c r="B795" s="238"/>
      <c r="H795" s="155"/>
      <c r="I795" s="239"/>
    </row>
    <row r="796" spans="2:9" ht="12.75">
      <c r="B796" s="238"/>
      <c r="H796" s="155"/>
      <c r="I796" s="239"/>
    </row>
    <row r="797" spans="2:9" ht="12.75">
      <c r="B797" s="238"/>
      <c r="H797" s="155"/>
      <c r="I797" s="239"/>
    </row>
    <row r="798" spans="2:9" ht="12.75">
      <c r="B798" s="238"/>
      <c r="H798" s="155"/>
      <c r="I798" s="239"/>
    </row>
    <row r="799" spans="2:9" ht="12.75">
      <c r="B799" s="238"/>
      <c r="H799" s="155"/>
      <c r="I799" s="239"/>
    </row>
    <row r="800" spans="2:9" ht="12.75">
      <c r="B800" s="238"/>
      <c r="H800" s="155"/>
      <c r="I800" s="239"/>
    </row>
    <row r="801" spans="2:9" ht="12.75">
      <c r="B801" s="238"/>
      <c r="H801" s="155"/>
      <c r="I801" s="239"/>
    </row>
    <row r="802" spans="2:9" ht="12.75">
      <c r="B802" s="238"/>
      <c r="H802" s="155"/>
      <c r="I802" s="239"/>
    </row>
    <row r="803" spans="2:9" ht="12.75">
      <c r="B803" s="238"/>
      <c r="H803" s="155"/>
      <c r="I803" s="239"/>
    </row>
    <row r="804" spans="2:9" ht="12.75">
      <c r="B804" s="238"/>
      <c r="H804" s="155"/>
      <c r="I804" s="239"/>
    </row>
    <row r="805" spans="2:9" ht="12.75">
      <c r="B805" s="238"/>
      <c r="H805" s="155"/>
      <c r="I805" s="239"/>
    </row>
    <row r="806" spans="2:9" ht="12.75">
      <c r="B806" s="238"/>
      <c r="H806" s="155"/>
      <c r="I806" s="239"/>
    </row>
    <row r="807" spans="2:9" ht="12.75">
      <c r="B807" s="238"/>
      <c r="H807" s="155"/>
      <c r="I807" s="239"/>
    </row>
    <row r="808" spans="2:9" ht="12.75">
      <c r="B808" s="238"/>
      <c r="H808" s="155"/>
      <c r="I808" s="239"/>
    </row>
    <row r="809" spans="2:9" ht="12.75">
      <c r="B809" s="238"/>
      <c r="H809" s="155"/>
      <c r="I809" s="239"/>
    </row>
    <row r="810" spans="2:9" ht="12.75">
      <c r="B810" s="238"/>
      <c r="H810" s="155"/>
      <c r="I810" s="239"/>
    </row>
    <row r="811" spans="2:9" ht="12.75">
      <c r="B811" s="238"/>
      <c r="H811" s="155"/>
      <c r="I811" s="239"/>
    </row>
    <row r="812" spans="2:9" ht="12.75">
      <c r="B812" s="238"/>
      <c r="H812" s="155"/>
      <c r="I812" s="239"/>
    </row>
    <row r="813" spans="2:9" ht="12.75">
      <c r="B813" s="238"/>
      <c r="H813" s="155"/>
      <c r="I813" s="239"/>
    </row>
    <row r="814" spans="2:9" ht="12.75">
      <c r="B814" s="238"/>
      <c r="H814" s="155"/>
      <c r="I814" s="239"/>
    </row>
    <row r="815" spans="2:9" ht="12.75">
      <c r="B815" s="238"/>
      <c r="H815" s="155"/>
      <c r="I815" s="239"/>
    </row>
    <row r="816" spans="2:9" ht="12.75">
      <c r="B816" s="238"/>
      <c r="H816" s="155"/>
      <c r="I816" s="239"/>
    </row>
    <row r="817" spans="2:9" ht="12.75">
      <c r="B817" s="238"/>
      <c r="H817" s="155"/>
      <c r="I817" s="239"/>
    </row>
    <row r="818" spans="2:9" ht="12.75">
      <c r="B818" s="238"/>
      <c r="H818" s="155"/>
      <c r="I818" s="239"/>
    </row>
    <row r="819" spans="2:9" ht="12.75">
      <c r="B819" s="238"/>
      <c r="H819" s="155"/>
      <c r="I819" s="239"/>
    </row>
    <row r="820" spans="2:9" ht="12.75">
      <c r="B820" s="238"/>
      <c r="H820" s="155"/>
      <c r="I820" s="239"/>
    </row>
    <row r="821" spans="2:9" ht="12.75">
      <c r="B821" s="238"/>
      <c r="H821" s="155"/>
      <c r="I821" s="239"/>
    </row>
    <row r="822" spans="2:9" ht="12.75">
      <c r="B822" s="238"/>
      <c r="H822" s="155"/>
      <c r="I822" s="239"/>
    </row>
    <row r="823" spans="2:9" ht="12.75">
      <c r="B823" s="238"/>
      <c r="H823" s="155"/>
      <c r="I823" s="239"/>
    </row>
    <row r="824" spans="2:9" ht="12.75">
      <c r="B824" s="238"/>
      <c r="H824" s="155"/>
      <c r="I824" s="239"/>
    </row>
    <row r="825" spans="2:9" ht="12.75">
      <c r="B825" s="238"/>
      <c r="H825" s="155"/>
      <c r="I825" s="239"/>
    </row>
    <row r="826" spans="2:9" ht="12.75">
      <c r="B826" s="238"/>
      <c r="H826" s="155"/>
      <c r="I826" s="239"/>
    </row>
    <row r="827" spans="2:9" ht="12.75">
      <c r="B827" s="238"/>
      <c r="H827" s="155"/>
      <c r="I827" s="239"/>
    </row>
    <row r="828" spans="2:9" ht="12.75">
      <c r="B828" s="238"/>
      <c r="H828" s="155"/>
      <c r="I828" s="239"/>
    </row>
    <row r="829" spans="2:9" ht="12.75">
      <c r="B829" s="238"/>
      <c r="H829" s="155"/>
      <c r="I829" s="239"/>
    </row>
    <row r="830" spans="2:9" ht="12.75">
      <c r="B830" s="238"/>
      <c r="H830" s="155"/>
      <c r="I830" s="239"/>
    </row>
    <row r="831" spans="2:9" ht="12.75">
      <c r="B831" s="238"/>
      <c r="H831" s="155"/>
      <c r="I831" s="239"/>
    </row>
    <row r="832" spans="2:9" ht="12.75">
      <c r="B832" s="238"/>
      <c r="H832" s="155"/>
      <c r="I832" s="239"/>
    </row>
    <row r="833" spans="2:9" ht="12.75">
      <c r="B833" s="238"/>
      <c r="H833" s="155"/>
      <c r="I833" s="239"/>
    </row>
    <row r="834" spans="2:9" ht="12.75">
      <c r="B834" s="238"/>
      <c r="H834" s="155"/>
      <c r="I834" s="239"/>
    </row>
    <row r="835" spans="2:9" ht="12.75">
      <c r="B835" s="238"/>
      <c r="H835" s="155"/>
      <c r="I835" s="239"/>
    </row>
    <row r="836" spans="2:9" ht="12.75">
      <c r="B836" s="238"/>
      <c r="H836" s="155"/>
      <c r="I836" s="239"/>
    </row>
    <row r="837" spans="2:9" ht="12.75">
      <c r="B837" s="238"/>
      <c r="H837" s="155"/>
      <c r="I837" s="239"/>
    </row>
    <row r="838" spans="2:9" ht="12.75">
      <c r="B838" s="238"/>
      <c r="H838" s="155"/>
      <c r="I838" s="239"/>
    </row>
    <row r="839" spans="2:9" ht="12.75">
      <c r="B839" s="238"/>
      <c r="H839" s="155"/>
      <c r="I839" s="239"/>
    </row>
    <row r="840" spans="2:9" ht="12.75">
      <c r="B840" s="238"/>
      <c r="H840" s="155"/>
      <c r="I840" s="239"/>
    </row>
    <row r="841" spans="2:9" ht="12.75">
      <c r="B841" s="238"/>
      <c r="H841" s="155"/>
      <c r="I841" s="239"/>
    </row>
    <row r="842" spans="2:9" ht="12.75">
      <c r="B842" s="238"/>
      <c r="H842" s="155"/>
      <c r="I842" s="239"/>
    </row>
    <row r="843" spans="2:9" ht="12.75">
      <c r="B843" s="238"/>
      <c r="H843" s="155"/>
      <c r="I843" s="239"/>
    </row>
    <row r="844" spans="2:9" ht="12.75">
      <c r="B844" s="238"/>
      <c r="H844" s="155"/>
      <c r="I844" s="239"/>
    </row>
    <row r="845" spans="2:9" ht="12.75">
      <c r="B845" s="238"/>
      <c r="H845" s="155"/>
      <c r="I845" s="239"/>
    </row>
    <row r="846" spans="2:9" ht="12.75">
      <c r="B846" s="238"/>
      <c r="H846" s="155"/>
      <c r="I846" s="239"/>
    </row>
    <row r="847" spans="2:9" ht="12.75">
      <c r="B847" s="238"/>
      <c r="H847" s="155"/>
      <c r="I847" s="239"/>
    </row>
    <row r="848" spans="2:9" ht="12.75">
      <c r="B848" s="238"/>
      <c r="H848" s="155"/>
      <c r="I848" s="239"/>
    </row>
    <row r="849" spans="2:9" ht="12.75">
      <c r="B849" s="238"/>
      <c r="H849" s="155"/>
      <c r="I849" s="239"/>
    </row>
    <row r="850" spans="2:9" ht="12.75">
      <c r="B850" s="238"/>
      <c r="H850" s="155"/>
      <c r="I850" s="239"/>
    </row>
    <row r="851" spans="2:9" ht="12.75">
      <c r="B851" s="238"/>
      <c r="H851" s="155"/>
      <c r="I851" s="239"/>
    </row>
    <row r="852" spans="2:9" ht="12.75">
      <c r="B852" s="238"/>
      <c r="H852" s="155"/>
      <c r="I852" s="239"/>
    </row>
    <row r="853" spans="2:9" ht="12.75">
      <c r="B853" s="238"/>
      <c r="H853" s="155"/>
      <c r="I853" s="239"/>
    </row>
    <row r="854" spans="2:9" ht="12.75">
      <c r="B854" s="238"/>
      <c r="H854" s="155"/>
      <c r="I854" s="239"/>
    </row>
    <row r="855" spans="2:9" ht="12.75">
      <c r="B855" s="238"/>
      <c r="H855" s="155"/>
      <c r="I855" s="239"/>
    </row>
    <row r="856" spans="2:9" ht="12.75">
      <c r="B856" s="238"/>
      <c r="H856" s="155"/>
      <c r="I856" s="239"/>
    </row>
    <row r="857" spans="2:9" ht="12.75">
      <c r="B857" s="238"/>
      <c r="H857" s="155"/>
      <c r="I857" s="239"/>
    </row>
    <row r="858" spans="2:9" ht="12.75">
      <c r="B858" s="238"/>
      <c r="H858" s="155"/>
      <c r="I858" s="239"/>
    </row>
    <row r="859" spans="2:9" ht="12.75">
      <c r="B859" s="238"/>
      <c r="H859" s="155"/>
      <c r="I859" s="239"/>
    </row>
    <row r="860" spans="2:9" ht="12.75">
      <c r="B860" s="238"/>
      <c r="H860" s="155"/>
      <c r="I860" s="239"/>
    </row>
    <row r="861" spans="2:9" ht="12.75">
      <c r="B861" s="238"/>
      <c r="H861" s="155"/>
      <c r="I861" s="239"/>
    </row>
    <row r="862" spans="2:9" ht="12.75">
      <c r="B862" s="238"/>
      <c r="H862" s="155"/>
      <c r="I862" s="239"/>
    </row>
    <row r="863" spans="2:9" ht="12.75">
      <c r="B863" s="238"/>
      <c r="H863" s="155"/>
      <c r="I863" s="239"/>
    </row>
    <row r="864" spans="2:9" ht="12.75">
      <c r="B864" s="238"/>
      <c r="H864" s="155"/>
      <c r="I864" s="239"/>
    </row>
    <row r="865" spans="2:9" ht="12.75">
      <c r="B865" s="238"/>
      <c r="H865" s="155"/>
      <c r="I865" s="239"/>
    </row>
    <row r="866" spans="2:9" ht="12.75">
      <c r="B866" s="238"/>
      <c r="H866" s="155"/>
      <c r="I866" s="239"/>
    </row>
    <row r="867" spans="2:9" ht="12.75">
      <c r="B867" s="238"/>
      <c r="H867" s="155"/>
      <c r="I867" s="239"/>
    </row>
    <row r="868" spans="2:9" ht="12.75">
      <c r="B868" s="238"/>
      <c r="H868" s="155"/>
      <c r="I868" s="239"/>
    </row>
    <row r="869" spans="2:9" ht="12.75">
      <c r="B869" s="238"/>
      <c r="H869" s="155"/>
      <c r="I869" s="239"/>
    </row>
    <row r="870" spans="2:9" ht="12.75">
      <c r="B870" s="238"/>
      <c r="H870" s="155"/>
      <c r="I870" s="239"/>
    </row>
    <row r="871" spans="2:9" ht="12.75">
      <c r="B871" s="238"/>
      <c r="H871" s="155"/>
      <c r="I871" s="239"/>
    </row>
    <row r="872" spans="2:9" ht="12.75">
      <c r="B872" s="238"/>
      <c r="H872" s="155"/>
      <c r="I872" s="239"/>
    </row>
    <row r="873" spans="2:9" ht="12.75">
      <c r="B873" s="238"/>
      <c r="H873" s="155"/>
      <c r="I873" s="239"/>
    </row>
    <row r="874" spans="2:9" ht="12.75">
      <c r="B874" s="238"/>
      <c r="H874" s="155"/>
      <c r="I874" s="239"/>
    </row>
    <row r="875" spans="2:9" ht="12.75">
      <c r="B875" s="238"/>
      <c r="H875" s="155"/>
      <c r="I875" s="239"/>
    </row>
    <row r="876" spans="2:9" ht="12.75">
      <c r="B876" s="238"/>
      <c r="H876" s="155"/>
      <c r="I876" s="239"/>
    </row>
    <row r="877" spans="2:9" ht="12.75">
      <c r="B877" s="238"/>
      <c r="H877" s="155"/>
      <c r="I877" s="239"/>
    </row>
    <row r="878" spans="2:9" ht="12.75">
      <c r="B878" s="238"/>
      <c r="H878" s="155"/>
      <c r="I878" s="239"/>
    </row>
    <row r="879" spans="2:9" ht="12.75">
      <c r="B879" s="238"/>
      <c r="H879" s="155"/>
      <c r="I879" s="239"/>
    </row>
    <row r="880" spans="2:9" ht="12.75">
      <c r="B880" s="238"/>
      <c r="H880" s="155"/>
      <c r="I880" s="239"/>
    </row>
    <row r="881" spans="2:9" ht="12.75">
      <c r="B881" s="238"/>
      <c r="H881" s="155"/>
      <c r="I881" s="239"/>
    </row>
    <row r="882" spans="2:9" ht="12.75">
      <c r="B882" s="238"/>
      <c r="H882" s="155"/>
      <c r="I882" s="239"/>
    </row>
    <row r="883" spans="2:9" ht="12.75">
      <c r="B883" s="238"/>
      <c r="H883" s="155"/>
      <c r="I883" s="239"/>
    </row>
    <row r="884" spans="2:9" ht="12.75">
      <c r="B884" s="238"/>
      <c r="H884" s="155"/>
      <c r="I884" s="239"/>
    </row>
    <row r="885" spans="2:9" ht="12.75">
      <c r="B885" s="238"/>
      <c r="H885" s="155"/>
      <c r="I885" s="239"/>
    </row>
    <row r="886" spans="2:9" ht="12.75">
      <c r="B886" s="238"/>
      <c r="H886" s="155"/>
      <c r="I886" s="239"/>
    </row>
    <row r="887" spans="2:9" ht="12.75">
      <c r="B887" s="238"/>
      <c r="H887" s="155"/>
      <c r="I887" s="239"/>
    </row>
    <row r="888" spans="2:9" ht="12.75">
      <c r="B888" s="238"/>
      <c r="H888" s="155"/>
      <c r="I888" s="239"/>
    </row>
    <row r="889" spans="2:9" ht="12.75">
      <c r="B889" s="238"/>
      <c r="H889" s="155"/>
      <c r="I889" s="239"/>
    </row>
    <row r="890" spans="2:9" ht="12.75">
      <c r="B890" s="238"/>
      <c r="H890" s="155"/>
      <c r="I890" s="239"/>
    </row>
    <row r="891" spans="2:9" ht="12.75">
      <c r="B891" s="238"/>
      <c r="H891" s="155"/>
      <c r="I891" s="239"/>
    </row>
    <row r="892" spans="2:9" ht="12.75">
      <c r="B892" s="238"/>
      <c r="H892" s="155"/>
      <c r="I892" s="239"/>
    </row>
    <row r="893" spans="2:9" ht="12.75">
      <c r="B893" s="238"/>
      <c r="H893" s="155"/>
      <c r="I893" s="239"/>
    </row>
    <row r="894" spans="2:9" ht="12.75">
      <c r="B894" s="238"/>
      <c r="H894" s="155"/>
      <c r="I894" s="239"/>
    </row>
    <row r="895" spans="2:9" ht="12.75">
      <c r="B895" s="238"/>
      <c r="H895" s="155"/>
      <c r="I895" s="239"/>
    </row>
    <row r="896" spans="2:9" ht="12.75">
      <c r="B896" s="238"/>
      <c r="H896" s="155"/>
      <c r="I896" s="239"/>
    </row>
    <row r="897" spans="2:9" ht="12.75">
      <c r="B897" s="238"/>
      <c r="H897" s="155"/>
      <c r="I897" s="239"/>
    </row>
    <row r="898" spans="2:9" ht="12.75">
      <c r="B898" s="238"/>
      <c r="H898" s="155"/>
      <c r="I898" s="239"/>
    </row>
    <row r="899" spans="2:9" ht="12.75">
      <c r="B899" s="238"/>
      <c r="H899" s="155"/>
      <c r="I899" s="239"/>
    </row>
    <row r="900" spans="2:9" ht="12.75">
      <c r="B900" s="238"/>
      <c r="H900" s="155"/>
      <c r="I900" s="239"/>
    </row>
    <row r="901" spans="2:9" ht="12.75">
      <c r="B901" s="238"/>
      <c r="H901" s="155"/>
      <c r="I901" s="239"/>
    </row>
    <row r="902" spans="2:9" ht="12.75">
      <c r="B902" s="238"/>
      <c r="H902" s="155"/>
      <c r="I902" s="239"/>
    </row>
    <row r="903" spans="2:9" ht="12.75">
      <c r="B903" s="238"/>
      <c r="H903" s="155"/>
      <c r="I903" s="239"/>
    </row>
    <row r="904" spans="2:9" ht="12.75">
      <c r="B904" s="238"/>
      <c r="H904" s="155"/>
      <c r="I904" s="239"/>
    </row>
    <row r="905" spans="2:9" ht="12.75">
      <c r="B905" s="238"/>
      <c r="H905" s="155"/>
      <c r="I905" s="239"/>
    </row>
    <row r="906" spans="2:9" ht="12.75">
      <c r="B906" s="238"/>
      <c r="H906" s="155"/>
      <c r="I906" s="239"/>
    </row>
    <row r="907" spans="2:9" ht="12.75">
      <c r="B907" s="238"/>
      <c r="H907" s="155"/>
      <c r="I907" s="239"/>
    </row>
    <row r="908" spans="2:9" ht="12.75">
      <c r="B908" s="238"/>
      <c r="H908" s="155"/>
      <c r="I908" s="239"/>
    </row>
    <row r="909" spans="2:9" ht="12.75">
      <c r="B909" s="238"/>
      <c r="H909" s="155"/>
      <c r="I909" s="239"/>
    </row>
    <row r="910" spans="2:9" ht="12.75">
      <c r="B910" s="238"/>
      <c r="H910" s="155"/>
      <c r="I910" s="239"/>
    </row>
    <row r="911" spans="2:9" ht="12.75">
      <c r="B911" s="238"/>
      <c r="H911" s="155"/>
      <c r="I911" s="239"/>
    </row>
    <row r="912" spans="2:9" ht="12.75">
      <c r="B912" s="238"/>
      <c r="H912" s="155"/>
      <c r="I912" s="239"/>
    </row>
    <row r="913" spans="2:9" ht="12.75">
      <c r="B913" s="238"/>
      <c r="H913" s="155"/>
      <c r="I913" s="239"/>
    </row>
    <row r="914" spans="2:9" ht="12.75">
      <c r="B914" s="238"/>
      <c r="H914" s="155"/>
      <c r="I914" s="239"/>
    </row>
    <row r="915" spans="2:9" ht="12.75">
      <c r="B915" s="238"/>
      <c r="H915" s="155"/>
      <c r="I915" s="239"/>
    </row>
    <row r="916" spans="2:9" ht="12.75">
      <c r="B916" s="238"/>
      <c r="H916" s="155"/>
      <c r="I916" s="239"/>
    </row>
    <row r="917" spans="2:9" ht="12.75">
      <c r="B917" s="238"/>
      <c r="H917" s="155"/>
      <c r="I917" s="239"/>
    </row>
    <row r="918" spans="2:9" ht="12.75">
      <c r="B918" s="238"/>
      <c r="H918" s="155"/>
      <c r="I918" s="239"/>
    </row>
    <row r="919" spans="2:9" ht="12.75">
      <c r="B919" s="238"/>
      <c r="H919" s="155"/>
      <c r="I919" s="239"/>
    </row>
    <row r="920" spans="2:9" ht="12.75">
      <c r="B920" s="238"/>
      <c r="H920" s="155"/>
      <c r="I920" s="239"/>
    </row>
    <row r="921" spans="2:9" ht="12.75">
      <c r="B921" s="238"/>
      <c r="H921" s="155"/>
      <c r="I921" s="239"/>
    </row>
    <row r="922" spans="2:9" ht="12.75">
      <c r="B922" s="238"/>
      <c r="H922" s="155"/>
      <c r="I922" s="239"/>
    </row>
    <row r="923" spans="2:9" ht="12.75">
      <c r="B923" s="238"/>
      <c r="H923" s="155"/>
      <c r="I923" s="239"/>
    </row>
    <row r="924" spans="2:9" ht="12.75">
      <c r="B924" s="238"/>
      <c r="H924" s="155"/>
      <c r="I924" s="239"/>
    </row>
    <row r="925" spans="2:9" ht="12.75">
      <c r="B925" s="238"/>
      <c r="H925" s="155"/>
      <c r="I925" s="239"/>
    </row>
    <row r="926" spans="2:9" ht="12.75">
      <c r="B926" s="238"/>
      <c r="H926" s="155"/>
      <c r="I926" s="239"/>
    </row>
    <row r="927" spans="2:9" ht="12.75">
      <c r="B927" s="238"/>
      <c r="H927" s="155"/>
      <c r="I927" s="239"/>
    </row>
    <row r="928" spans="2:9" ht="12.75">
      <c r="B928" s="238"/>
      <c r="H928" s="155"/>
      <c r="I928" s="239"/>
    </row>
    <row r="929" spans="2:9" ht="12.75">
      <c r="B929" s="238"/>
      <c r="H929" s="155"/>
      <c r="I929" s="239"/>
    </row>
    <row r="930" spans="2:9" ht="12.75">
      <c r="B930" s="238"/>
      <c r="H930" s="155"/>
      <c r="I930" s="239"/>
    </row>
    <row r="931" spans="2:9" ht="12.75">
      <c r="B931" s="238"/>
      <c r="H931" s="155"/>
      <c r="I931" s="239"/>
    </row>
    <row r="932" spans="2:9" ht="12.75">
      <c r="B932" s="238"/>
      <c r="H932" s="155"/>
      <c r="I932" s="239"/>
    </row>
    <row r="933" spans="2:9" ht="12.75">
      <c r="B933" s="238"/>
      <c r="H933" s="155"/>
      <c r="I933" s="239"/>
    </row>
    <row r="934" spans="2:9" ht="12.75">
      <c r="B934" s="238"/>
      <c r="H934" s="155"/>
      <c r="I934" s="239"/>
    </row>
    <row r="935" spans="2:9" ht="12.75">
      <c r="B935" s="238"/>
      <c r="H935" s="155"/>
      <c r="I935" s="239"/>
    </row>
    <row r="936" spans="2:9" ht="12.75">
      <c r="B936" s="238"/>
      <c r="H936" s="155"/>
      <c r="I936" s="239"/>
    </row>
    <row r="937" spans="2:9" ht="12.75">
      <c r="B937" s="238"/>
      <c r="H937" s="155"/>
      <c r="I937" s="239"/>
    </row>
    <row r="938" spans="2:9" ht="12.75">
      <c r="B938" s="238"/>
      <c r="H938" s="155"/>
      <c r="I938" s="239"/>
    </row>
    <row r="939" spans="2:9" ht="12.75">
      <c r="B939" s="238"/>
      <c r="H939" s="155"/>
      <c r="I939" s="239"/>
    </row>
    <row r="940" spans="2:9" ht="12.75">
      <c r="B940" s="238"/>
      <c r="H940" s="155"/>
      <c r="I940" s="239"/>
    </row>
    <row r="941" spans="2:9" ht="12.75">
      <c r="B941" s="238"/>
      <c r="H941" s="155"/>
      <c r="I941" s="239"/>
    </row>
    <row r="942" spans="2:9" ht="12.75">
      <c r="B942" s="238"/>
      <c r="H942" s="155"/>
      <c r="I942" s="239"/>
    </row>
    <row r="943" spans="2:9" ht="12.75">
      <c r="B943" s="238"/>
      <c r="H943" s="155"/>
      <c r="I943" s="239"/>
    </row>
    <row r="944" spans="2:9" ht="12.75">
      <c r="B944" s="238"/>
      <c r="H944" s="155"/>
      <c r="I944" s="239"/>
    </row>
    <row r="945" spans="2:9" ht="12.75">
      <c r="B945" s="238"/>
      <c r="H945" s="155"/>
      <c r="I945" s="239"/>
    </row>
    <row r="946" spans="2:9" ht="12.75">
      <c r="B946" s="238"/>
      <c r="H946" s="155"/>
      <c r="I946" s="239"/>
    </row>
    <row r="947" spans="2:9" ht="12.75">
      <c r="B947" s="238"/>
      <c r="H947" s="155"/>
      <c r="I947" s="239"/>
    </row>
    <row r="948" spans="2:9" ht="12.75">
      <c r="B948" s="238"/>
      <c r="H948" s="155"/>
      <c r="I948" s="239"/>
    </row>
    <row r="949" spans="2:9" ht="12.75">
      <c r="B949" s="238"/>
      <c r="H949" s="155"/>
      <c r="I949" s="239"/>
    </row>
    <row r="950" spans="2:9" ht="12.75">
      <c r="B950" s="238"/>
      <c r="H950" s="155"/>
      <c r="I950" s="239"/>
    </row>
    <row r="951" spans="2:9" ht="12.75">
      <c r="B951" s="238"/>
      <c r="H951" s="155"/>
      <c r="I951" s="239"/>
    </row>
    <row r="952" spans="2:9" ht="12.75">
      <c r="B952" s="238"/>
      <c r="H952" s="155"/>
      <c r="I952" s="239"/>
    </row>
    <row r="953" spans="2:9" ht="12.75">
      <c r="B953" s="238"/>
      <c r="H953" s="155"/>
      <c r="I953" s="239"/>
    </row>
    <row r="954" spans="2:9" ht="12.75">
      <c r="B954" s="238"/>
      <c r="H954" s="155"/>
      <c r="I954" s="239"/>
    </row>
    <row r="955" spans="2:9" ht="12.75">
      <c r="B955" s="238"/>
      <c r="H955" s="155"/>
      <c r="I955" s="239"/>
    </row>
    <row r="956" spans="2:9" ht="12.75">
      <c r="B956" s="238"/>
      <c r="H956" s="155"/>
      <c r="I956" s="239"/>
    </row>
    <row r="957" spans="2:9" ht="12.75">
      <c r="B957" s="238"/>
      <c r="H957" s="155"/>
      <c r="I957" s="239"/>
    </row>
    <row r="958" spans="2:9" ht="12.75">
      <c r="B958" s="238"/>
      <c r="H958" s="155"/>
      <c r="I958" s="239"/>
    </row>
    <row r="959" spans="2:9" ht="12.75">
      <c r="B959" s="238"/>
      <c r="H959" s="155"/>
      <c r="I959" s="239"/>
    </row>
    <row r="960" spans="2:9" ht="12.75">
      <c r="B960" s="238"/>
      <c r="H960" s="155"/>
      <c r="I960" s="239"/>
    </row>
    <row r="961" spans="2:9" ht="12.75">
      <c r="B961" s="238"/>
      <c r="H961" s="155"/>
      <c r="I961" s="239"/>
    </row>
    <row r="962" spans="2:9" ht="12.75">
      <c r="B962" s="238"/>
      <c r="H962" s="155"/>
      <c r="I962" s="239"/>
    </row>
    <row r="963" spans="2:9" ht="12.75">
      <c r="B963" s="238"/>
      <c r="H963" s="155"/>
      <c r="I963" s="239"/>
    </row>
    <row r="964" spans="2:9" ht="12.75">
      <c r="B964" s="238"/>
      <c r="H964" s="155"/>
      <c r="I964" s="239"/>
    </row>
    <row r="965" spans="2:9" ht="12.75">
      <c r="B965" s="238"/>
      <c r="H965" s="155"/>
      <c r="I965" s="239"/>
    </row>
    <row r="966" spans="2:9" ht="12.75">
      <c r="B966" s="238"/>
      <c r="H966" s="155"/>
      <c r="I966" s="239"/>
    </row>
    <row r="967" spans="2:9" ht="12.75">
      <c r="B967" s="238"/>
      <c r="H967" s="155"/>
      <c r="I967" s="239"/>
    </row>
    <row r="968" spans="2:9" ht="12.75">
      <c r="B968" s="238"/>
      <c r="H968" s="155"/>
      <c r="I968" s="239"/>
    </row>
    <row r="969" spans="2:9" ht="12.75">
      <c r="B969" s="238"/>
      <c r="H969" s="155"/>
      <c r="I969" s="239"/>
    </row>
    <row r="970" spans="2:9" ht="12.75">
      <c r="B970" s="238"/>
      <c r="H970" s="155"/>
      <c r="I970" s="239"/>
    </row>
    <row r="971" spans="2:9" ht="12.75">
      <c r="B971" s="238"/>
      <c r="H971" s="155"/>
      <c r="I971" s="239"/>
    </row>
    <row r="972" spans="2:9" ht="12.75">
      <c r="B972" s="238"/>
      <c r="H972" s="155"/>
      <c r="I972" s="239"/>
    </row>
    <row r="973" spans="2:9" ht="12.75">
      <c r="B973" s="238"/>
      <c r="H973" s="155"/>
      <c r="I973" s="239"/>
    </row>
    <row r="974" spans="2:9" ht="12.75">
      <c r="B974" s="238"/>
      <c r="H974" s="155"/>
      <c r="I974" s="239"/>
    </row>
    <row r="975" spans="2:9" ht="12.75">
      <c r="B975" s="238"/>
      <c r="H975" s="155"/>
      <c r="I975" s="239"/>
    </row>
    <row r="976" spans="2:9" ht="12.75">
      <c r="B976" s="238"/>
      <c r="H976" s="155"/>
      <c r="I976" s="239"/>
    </row>
    <row r="977" spans="2:9" ht="12.75">
      <c r="B977" s="238"/>
      <c r="H977" s="155"/>
      <c r="I977" s="239"/>
    </row>
    <row r="978" spans="2:9" ht="12.75">
      <c r="B978" s="238"/>
      <c r="H978" s="155"/>
      <c r="I978" s="239"/>
    </row>
    <row r="979" spans="2:9" ht="12.75">
      <c r="B979" s="238"/>
      <c r="H979" s="155"/>
      <c r="I979" s="239"/>
    </row>
    <row r="980" spans="2:9" ht="12.75">
      <c r="B980" s="238"/>
      <c r="H980" s="155"/>
      <c r="I980" s="239"/>
    </row>
    <row r="981" spans="2:9" ht="12.75">
      <c r="B981" s="238"/>
      <c r="H981" s="155"/>
      <c r="I981" s="239"/>
    </row>
    <row r="982" spans="2:9" ht="12.75">
      <c r="B982" s="238"/>
      <c r="H982" s="155"/>
      <c r="I982" s="239"/>
    </row>
    <row r="983" spans="2:9" ht="12.75">
      <c r="B983" s="238"/>
      <c r="H983" s="155"/>
      <c r="I983" s="239"/>
    </row>
  </sheetData>
  <mergeCells count="5">
    <mergeCell ref="B136:H136"/>
    <mergeCell ref="B164:G164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83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1</vt:i4>
      </vt:variant>
    </vt:vector>
  </HeadingPairs>
  <TitlesOfParts>
    <vt:vector size="6" baseType="lpstr">
      <vt:lpstr>06.10.2025</vt:lpstr>
      <vt:lpstr>13.10.2025</vt:lpstr>
      <vt:lpstr>20.10.2025</vt:lpstr>
      <vt:lpstr>27.10.2025</vt:lpstr>
      <vt:lpstr>03.11.2025</vt:lpstr>
      <vt:lpstr>'03.11.2025'!Область_друку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2025-10-31T13:29:46Z</cp:lastPrinted>
  <dcterms:created xsi:type="dcterms:W3CDTF">2025-10-31T12:51:15Z</dcterms:created>
  <dcterms:modified xsi:type="dcterms:W3CDTF">2025-10-31T13:32:45Z</dcterms:modified>
</cp:coreProperties>
</file>